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lavkovaA\Documents\FV_MMO_2022\final_2022\"/>
    </mc:Choice>
  </mc:AlternateContent>
  <bookViews>
    <workbookView xWindow="0" yWindow="0" windowWidth="28800" windowHeight="12135" firstSheet="2" activeTab="2"/>
  </bookViews>
  <sheets>
    <sheet name="Výsledovka 2020" sheetId="5" state="hidden" r:id="rId1"/>
    <sheet name="Výsledovka 2021" sheetId="2" state="hidden" r:id="rId2"/>
    <sheet name="Výsledovka 2022" sheetId="6" r:id="rId3"/>
    <sheet name="Magis 2022" sheetId="7" r:id="rId4"/>
    <sheet name="Fakturace " sheetId="1" r:id="rId5"/>
    <sheet name="Kilometry" sheetId="3" r:id="rId6"/>
    <sheet name="CNG" sheetId="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7" i="6" l="1"/>
  <c r="P13" i="6"/>
  <c r="P18" i="6"/>
  <c r="P19" i="6" s="1"/>
  <c r="P33" i="6"/>
  <c r="P31" i="6"/>
  <c r="P30" i="6"/>
  <c r="P29" i="6"/>
  <c r="P26" i="6"/>
  <c r="P22" i="6"/>
  <c r="P28" i="4"/>
  <c r="M28" i="4"/>
  <c r="K28" i="4"/>
  <c r="L28" i="4"/>
  <c r="N28" i="4"/>
  <c r="O28" i="4"/>
  <c r="R28" i="4"/>
  <c r="G35" i="3"/>
  <c r="F35" i="3"/>
  <c r="E35" i="3"/>
  <c r="D35" i="3"/>
  <c r="C35" i="3"/>
  <c r="G34" i="3"/>
  <c r="E34" i="3"/>
  <c r="J33" i="1"/>
  <c r="I33" i="1"/>
  <c r="H33" i="1"/>
  <c r="I32" i="1"/>
  <c r="J32" i="1" s="1"/>
  <c r="Q28" i="4" l="1"/>
  <c r="P17" i="6"/>
  <c r="P6" i="6"/>
  <c r="P7" i="6"/>
  <c r="P8" i="6"/>
  <c r="P9" i="6"/>
  <c r="P10" i="6"/>
  <c r="P12" i="6"/>
  <c r="P14" i="6"/>
  <c r="P15" i="6"/>
  <c r="P5" i="6"/>
  <c r="P35" i="6"/>
  <c r="O32" i="6"/>
  <c r="O33" i="6"/>
  <c r="O27" i="6"/>
  <c r="O24" i="6"/>
  <c r="O29" i="6"/>
  <c r="O19" i="6"/>
  <c r="O20" i="6" s="1"/>
  <c r="O16" i="6"/>
  <c r="P27" i="4"/>
  <c r="K27" i="4"/>
  <c r="L27" i="4" s="1"/>
  <c r="N16" i="6"/>
  <c r="N24" i="6" s="1"/>
  <c r="N19" i="6"/>
  <c r="N27" i="6"/>
  <c r="N29" i="6"/>
  <c r="N33" i="6" s="1"/>
  <c r="M27" i="4"/>
  <c r="N27" i="4" s="1"/>
  <c r="O27" i="4"/>
  <c r="R27" i="4"/>
  <c r="P27" i="6" l="1"/>
  <c r="N20" i="6"/>
  <c r="N32" i="6"/>
  <c r="Q27" i="4"/>
  <c r="G33" i="3" l="1"/>
  <c r="E33" i="3"/>
  <c r="J34" i="1"/>
  <c r="I31" i="1"/>
  <c r="J31" i="1"/>
  <c r="P26" i="4"/>
  <c r="K26" i="4"/>
  <c r="L26" i="4" s="1"/>
  <c r="M26" i="4"/>
  <c r="N26" i="4" s="1"/>
  <c r="O26" i="4"/>
  <c r="R26" i="4"/>
  <c r="G32" i="3"/>
  <c r="E32" i="3"/>
  <c r="I30" i="1"/>
  <c r="J30" i="1" s="1"/>
  <c r="Q26" i="4" l="1"/>
  <c r="M29" i="6" l="1"/>
  <c r="M33" i="6" s="1"/>
  <c r="M19" i="6" l="1"/>
  <c r="M27" i="6"/>
  <c r="M16" i="6"/>
  <c r="M32" i="6" l="1"/>
  <c r="M24" i="6"/>
  <c r="M20" i="6"/>
  <c r="P25" i="4"/>
  <c r="K25" i="4"/>
  <c r="L25" i="4" s="1"/>
  <c r="M25" i="4"/>
  <c r="N25" i="4" s="1"/>
  <c r="O25" i="4"/>
  <c r="R25" i="4"/>
  <c r="G31" i="3"/>
  <c r="E31" i="3"/>
  <c r="I29" i="1"/>
  <c r="J29" i="1" s="1"/>
  <c r="L29" i="6"/>
  <c r="L33" i="6" s="1"/>
  <c r="L27" i="6"/>
  <c r="Q25" i="4" l="1"/>
  <c r="L19" i="6" l="1"/>
  <c r="L16" i="6"/>
  <c r="L32" i="6" s="1"/>
  <c r="P24" i="4"/>
  <c r="K24" i="4"/>
  <c r="L24" i="4" s="1"/>
  <c r="M24" i="4"/>
  <c r="N24" i="4" s="1"/>
  <c r="O24" i="4"/>
  <c r="R24" i="4"/>
  <c r="G30" i="3"/>
  <c r="E30" i="3"/>
  <c r="I27" i="1"/>
  <c r="J27" i="1" s="1"/>
  <c r="L24" i="6" l="1"/>
  <c r="L20" i="6"/>
  <c r="Q24" i="4"/>
  <c r="J27" i="6" l="1"/>
  <c r="K16" i="6"/>
  <c r="K24" i="6" s="1"/>
  <c r="K19" i="6"/>
  <c r="K27" i="6"/>
  <c r="K29" i="6"/>
  <c r="R23" i="4"/>
  <c r="P23" i="4"/>
  <c r="M23" i="4"/>
  <c r="N23" i="4" s="1"/>
  <c r="K23" i="4"/>
  <c r="L23" i="4" s="1"/>
  <c r="O23" i="4"/>
  <c r="G29" i="3"/>
  <c r="E29" i="3"/>
  <c r="I28" i="1"/>
  <c r="J28" i="1" s="1"/>
  <c r="J29" i="6"/>
  <c r="J33" i="6" s="1"/>
  <c r="J19" i="6"/>
  <c r="J16" i="6"/>
  <c r="J24" i="6" s="1"/>
  <c r="R17" i="4"/>
  <c r="P22" i="4"/>
  <c r="P21" i="4"/>
  <c r="O21" i="4"/>
  <c r="K22" i="4"/>
  <c r="L22" i="4" s="1"/>
  <c r="K21" i="4"/>
  <c r="L21" i="4" s="1"/>
  <c r="M21" i="4"/>
  <c r="N21" i="4" s="1"/>
  <c r="R21" i="4"/>
  <c r="M22" i="4"/>
  <c r="N22" i="4" s="1"/>
  <c r="O22" i="4"/>
  <c r="R22" i="4"/>
  <c r="G28" i="3"/>
  <c r="E28" i="3"/>
  <c r="G27" i="3"/>
  <c r="E27" i="3"/>
  <c r="I25" i="1"/>
  <c r="J25" i="1" s="1"/>
  <c r="I26" i="1"/>
  <c r="J26" i="1" s="1"/>
  <c r="H29" i="6"/>
  <c r="H33" i="6" s="1"/>
  <c r="I29" i="6"/>
  <c r="I33" i="6" s="1"/>
  <c r="F27" i="6"/>
  <c r="G27" i="6"/>
  <c r="H27" i="6"/>
  <c r="I27" i="6"/>
  <c r="K33" i="6" l="1"/>
  <c r="Q23" i="4"/>
  <c r="Q21" i="4"/>
  <c r="K20" i="6"/>
  <c r="K32" i="6"/>
  <c r="J32" i="6"/>
  <c r="J20" i="6"/>
  <c r="Q22" i="4"/>
  <c r="I16" i="6" l="1"/>
  <c r="I32" i="6" s="1"/>
  <c r="I19" i="6"/>
  <c r="H11" i="6"/>
  <c r="P11" i="6" s="1"/>
  <c r="H19" i="6"/>
  <c r="P20" i="4"/>
  <c r="K20" i="4"/>
  <c r="P16" i="6" l="1"/>
  <c r="P32" i="6" s="1"/>
  <c r="H16" i="6"/>
  <c r="H32" i="6" s="1"/>
  <c r="I24" i="6"/>
  <c r="H24" i="6"/>
  <c r="I20" i="6"/>
  <c r="H20" i="6"/>
  <c r="G16" i="6"/>
  <c r="G29" i="6"/>
  <c r="G19" i="6"/>
  <c r="F29" i="6"/>
  <c r="F33" i="6" s="1"/>
  <c r="P19" i="4"/>
  <c r="K19" i="4"/>
  <c r="L19" i="4" s="1"/>
  <c r="R20" i="4"/>
  <c r="O20" i="4"/>
  <c r="L20" i="4"/>
  <c r="R19" i="4"/>
  <c r="O19" i="4"/>
  <c r="E26" i="3"/>
  <c r="G26" i="3" s="1"/>
  <c r="M20" i="4" s="1"/>
  <c r="N20" i="4" s="1"/>
  <c r="E25" i="3"/>
  <c r="G25" i="3" s="1"/>
  <c r="M19" i="4" s="1"/>
  <c r="N19" i="4" s="1"/>
  <c r="I24" i="1"/>
  <c r="J24" i="1" s="1"/>
  <c r="I23" i="1"/>
  <c r="J23" i="1" s="1"/>
  <c r="P20" i="6" l="1"/>
  <c r="P24" i="6"/>
  <c r="G33" i="6"/>
  <c r="G32" i="6"/>
  <c r="G24" i="6"/>
  <c r="G20" i="6"/>
  <c r="Q19" i="4"/>
  <c r="Q20" i="4"/>
  <c r="F19" i="6" l="1"/>
  <c r="E16" i="6"/>
  <c r="F16" i="6"/>
  <c r="D16" i="6"/>
  <c r="E29" i="6"/>
  <c r="E33" i="6" s="1"/>
  <c r="D29" i="6"/>
  <c r="P18" i="4"/>
  <c r="K18" i="4"/>
  <c r="L18" i="4" s="1"/>
  <c r="O18" i="4"/>
  <c r="R18" i="4"/>
  <c r="E27" i="6"/>
  <c r="F24" i="6" l="1"/>
  <c r="F32" i="6"/>
  <c r="Q18" i="4"/>
  <c r="D33" i="6"/>
  <c r="F20" i="6"/>
  <c r="E19" i="6" l="1"/>
  <c r="E24" i="6"/>
  <c r="R5" i="4"/>
  <c r="R6" i="4"/>
  <c r="R7" i="4"/>
  <c r="R8" i="4"/>
  <c r="R9" i="4"/>
  <c r="R10" i="4"/>
  <c r="R11" i="4"/>
  <c r="R12" i="4"/>
  <c r="R13" i="4"/>
  <c r="R14" i="4"/>
  <c r="R15" i="4"/>
  <c r="R16" i="4"/>
  <c r="D27" i="6"/>
  <c r="E24" i="3"/>
  <c r="E23" i="3"/>
  <c r="G23" i="3" s="1"/>
  <c r="M17" i="4" s="1"/>
  <c r="N17" i="4" s="1"/>
  <c r="I22" i="1"/>
  <c r="J22" i="1" s="1"/>
  <c r="P17" i="4"/>
  <c r="O17" i="4"/>
  <c r="K17" i="4"/>
  <c r="L17" i="4" s="1"/>
  <c r="H34" i="1"/>
  <c r="I21" i="1"/>
  <c r="J21" i="1"/>
  <c r="D19" i="6"/>
  <c r="P44" i="2"/>
  <c r="R42" i="2"/>
  <c r="G24" i="3" l="1"/>
  <c r="M18" i="4" s="1"/>
  <c r="N18" i="4" s="1"/>
  <c r="E20" i="6"/>
  <c r="E32" i="6"/>
  <c r="D24" i="6"/>
  <c r="D32" i="6"/>
  <c r="Q17" i="4"/>
  <c r="D20" i="6"/>
  <c r="Q45" i="2"/>
  <c r="Q44" i="2"/>
  <c r="Q36" i="2"/>
  <c r="Q35" i="2"/>
  <c r="Q31" i="2"/>
  <c r="Q15" i="2"/>
  <c r="P16" i="4"/>
  <c r="O16" i="4"/>
  <c r="K16" i="4"/>
  <c r="L16" i="4" s="1"/>
  <c r="C22" i="3"/>
  <c r="E21" i="3"/>
  <c r="G21" i="3" s="1"/>
  <c r="M16" i="4" s="1"/>
  <c r="N16" i="4" s="1"/>
  <c r="J20" i="1"/>
  <c r="P45" i="2"/>
  <c r="P42" i="2"/>
  <c r="O44" i="2"/>
  <c r="O45" i="2"/>
  <c r="O38" i="2"/>
  <c r="O36" i="2"/>
  <c r="P35" i="2"/>
  <c r="P34" i="2"/>
  <c r="P33" i="2"/>
  <c r="P49" i="2" s="1"/>
  <c r="P28" i="2"/>
  <c r="P26" i="2"/>
  <c r="P24" i="2"/>
  <c r="P30" i="2"/>
  <c r="P29" i="2"/>
  <c r="P27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O31" i="2"/>
  <c r="P15" i="4"/>
  <c r="O15" i="4"/>
  <c r="K15" i="4"/>
  <c r="L15" i="4" s="1"/>
  <c r="E20" i="3"/>
  <c r="G20" i="3" s="1"/>
  <c r="M15" i="4" s="1"/>
  <c r="N15" i="4" s="1"/>
  <c r="J19" i="1"/>
  <c r="Q16" i="4" l="1"/>
  <c r="P36" i="2"/>
  <c r="Q15" i="4"/>
  <c r="N36" i="2"/>
  <c r="N31" i="2"/>
  <c r="P14" i="4"/>
  <c r="P13" i="4"/>
  <c r="P12" i="4"/>
  <c r="P11" i="4"/>
  <c r="P10" i="4"/>
  <c r="P9" i="4"/>
  <c r="P8" i="4"/>
  <c r="P7" i="4"/>
  <c r="P6" i="4"/>
  <c r="P5" i="4"/>
  <c r="O6" i="4"/>
  <c r="O7" i="4"/>
  <c r="O8" i="4"/>
  <c r="O9" i="4"/>
  <c r="O10" i="4"/>
  <c r="O11" i="4"/>
  <c r="O12" i="4"/>
  <c r="O13" i="4"/>
  <c r="O14" i="4"/>
  <c r="O5" i="4"/>
  <c r="K13" i="4"/>
  <c r="L13" i="4" s="1"/>
  <c r="K14" i="4"/>
  <c r="L14" i="4" s="1"/>
  <c r="Q7" i="4" l="1"/>
  <c r="Q8" i="4"/>
  <c r="Q12" i="4"/>
  <c r="Q5" i="4"/>
  <c r="Q9" i="4"/>
  <c r="Q13" i="4"/>
  <c r="Q11" i="4"/>
  <c r="Q6" i="4"/>
  <c r="Q10" i="4"/>
  <c r="Q14" i="4"/>
  <c r="N44" i="2"/>
  <c r="N45" i="2" s="1"/>
  <c r="N38" i="2"/>
  <c r="E19" i="3"/>
  <c r="G19" i="3" s="1"/>
  <c r="M14" i="4" s="1"/>
  <c r="N14" i="4" s="1"/>
  <c r="J18" i="1"/>
  <c r="M31" i="2"/>
  <c r="M36" i="2"/>
  <c r="D25" i="2"/>
  <c r="E36" i="2"/>
  <c r="F36" i="2"/>
  <c r="G36" i="2"/>
  <c r="H36" i="2"/>
  <c r="I36" i="2"/>
  <c r="J36" i="2"/>
  <c r="K36" i="2"/>
  <c r="L36" i="2"/>
  <c r="D36" i="2"/>
  <c r="E31" i="2"/>
  <c r="F31" i="2"/>
  <c r="G31" i="2"/>
  <c r="H31" i="2"/>
  <c r="I31" i="2"/>
  <c r="J31" i="2"/>
  <c r="K31" i="2"/>
  <c r="L31" i="2"/>
  <c r="P25" i="2" l="1"/>
  <c r="P31" i="2" s="1"/>
  <c r="M44" i="2"/>
  <c r="M45" i="2" s="1"/>
  <c r="K44" i="2"/>
  <c r="H38" i="2"/>
  <c r="J38" i="2"/>
  <c r="F38" i="2"/>
  <c r="M38" i="2"/>
  <c r="G38" i="2"/>
  <c r="D31" i="2"/>
  <c r="L38" i="2"/>
  <c r="I38" i="2"/>
  <c r="E38" i="2"/>
  <c r="K38" i="2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K6" i="4"/>
  <c r="L6" i="4" s="1"/>
  <c r="K5" i="4"/>
  <c r="L5" i="4" s="1"/>
  <c r="E18" i="3"/>
  <c r="G18" i="3" s="1"/>
  <c r="M13" i="4" s="1"/>
  <c r="N13" i="4" s="1"/>
  <c r="E17" i="3"/>
  <c r="G17" i="3" s="1"/>
  <c r="M12" i="4" s="1"/>
  <c r="N12" i="4" s="1"/>
  <c r="E16" i="3"/>
  <c r="G16" i="3" s="1"/>
  <c r="M11" i="4" s="1"/>
  <c r="N11" i="4" s="1"/>
  <c r="J17" i="1"/>
  <c r="J16" i="1"/>
  <c r="J15" i="1"/>
  <c r="I34" i="1"/>
  <c r="E33" i="5"/>
  <c r="E34" i="5" s="1"/>
  <c r="D33" i="5"/>
  <c r="D34" i="5" s="1"/>
  <c r="H31" i="5"/>
  <c r="I31" i="5" s="1"/>
  <c r="E27" i="5"/>
  <c r="G25" i="5"/>
  <c r="G27" i="5" s="1"/>
  <c r="F25" i="5"/>
  <c r="E25" i="5"/>
  <c r="D25" i="5"/>
  <c r="D27" i="5" s="1"/>
  <c r="H24" i="5"/>
  <c r="H25" i="5" s="1"/>
  <c r="H23" i="5"/>
  <c r="G21" i="5"/>
  <c r="G33" i="5" s="1"/>
  <c r="G34" i="5" s="1"/>
  <c r="F21" i="5"/>
  <c r="F33" i="5" s="1"/>
  <c r="F34" i="5" s="1"/>
  <c r="E21" i="5"/>
  <c r="D21" i="5"/>
  <c r="C21" i="5"/>
  <c r="C27" i="5" s="1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21" i="5" s="1"/>
  <c r="H33" i="5" s="1"/>
  <c r="H7" i="5"/>
  <c r="P38" i="2" l="1"/>
  <c r="P39" i="2" s="1"/>
  <c r="D38" i="2"/>
  <c r="P51" i="2"/>
  <c r="K45" i="2"/>
  <c r="J44" i="2"/>
  <c r="J45" i="2" s="1"/>
  <c r="L44" i="2"/>
  <c r="L45" i="2" s="1"/>
  <c r="I32" i="5"/>
  <c r="H34" i="5"/>
  <c r="H27" i="5"/>
  <c r="H28" i="5" s="1"/>
  <c r="F27" i="5"/>
  <c r="F22" i="3" l="1"/>
  <c r="D22" i="3"/>
  <c r="E15" i="3"/>
  <c r="G15" i="3" s="1"/>
  <c r="M10" i="4" s="1"/>
  <c r="N10" i="4" s="1"/>
  <c r="E14" i="3"/>
  <c r="G14" i="3" s="1"/>
  <c r="M9" i="4" s="1"/>
  <c r="N9" i="4" s="1"/>
  <c r="E13" i="3"/>
  <c r="G13" i="3" s="1"/>
  <c r="M8" i="4" s="1"/>
  <c r="N8" i="4" s="1"/>
  <c r="E12" i="3"/>
  <c r="G12" i="3" s="1"/>
  <c r="M7" i="4" s="1"/>
  <c r="N7" i="4" s="1"/>
  <c r="E11" i="3"/>
  <c r="G11" i="3" s="1"/>
  <c r="M6" i="4" s="1"/>
  <c r="N6" i="4" s="1"/>
  <c r="E10" i="3"/>
  <c r="G10" i="3" s="1"/>
  <c r="M5" i="4" s="1"/>
  <c r="N5" i="4" s="1"/>
  <c r="F9" i="3"/>
  <c r="D9" i="3"/>
  <c r="C9" i="3"/>
  <c r="E8" i="3"/>
  <c r="G8" i="3" s="1"/>
  <c r="E7" i="3"/>
  <c r="G7" i="3" s="1"/>
  <c r="E6" i="3"/>
  <c r="G6" i="3" s="1"/>
  <c r="E5" i="3"/>
  <c r="G5" i="3" s="1"/>
  <c r="G22" i="3" l="1"/>
  <c r="E22" i="3"/>
  <c r="P48" i="2"/>
  <c r="P50" i="2" s="1"/>
  <c r="P52" i="2" s="1"/>
  <c r="G44" i="2"/>
  <c r="G45" i="2" s="1"/>
  <c r="I44" i="2"/>
  <c r="I45" i="2" s="1"/>
  <c r="D44" i="2"/>
  <c r="D45" i="2" s="1"/>
  <c r="H44" i="2"/>
  <c r="H45" i="2" s="1"/>
  <c r="E44" i="2"/>
  <c r="E45" i="2" s="1"/>
  <c r="F44" i="2"/>
  <c r="F45" i="2" s="1"/>
  <c r="G9" i="3"/>
  <c r="E9" i="3"/>
  <c r="J6" i="1" l="1"/>
  <c r="J7" i="1"/>
  <c r="J8" i="1"/>
  <c r="J5" i="1"/>
  <c r="J14" i="1"/>
  <c r="J13" i="1"/>
  <c r="J12" i="1"/>
  <c r="J11" i="1"/>
  <c r="J10" i="1"/>
  <c r="J9" i="1"/>
  <c r="J35" i="1" l="1"/>
  <c r="H35" i="1" s="1"/>
  <c r="I35" i="1" l="1"/>
</calcChain>
</file>

<file path=xl/comments1.xml><?xml version="1.0" encoding="utf-8"?>
<comments xmlns="http://schemas.openxmlformats.org/spreadsheetml/2006/main">
  <authors>
    <author>Libuše Vodičková</author>
  </authors>
  <commentList>
    <comment ref="J15" authorId="0" shapeId="0">
      <text>
        <r>
          <rPr>
            <b/>
            <sz val="9"/>
            <color indexed="81"/>
            <rFont val="Tahoma"/>
            <family val="2"/>
            <charset val="238"/>
          </rPr>
          <t>oprava brzd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  <charset val="238"/>
          </rPr>
          <t>oprava po nehodě 6800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zástup
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  <charset val="238"/>
          </rPr>
          <t>rozúčtovat</t>
        </r>
      </text>
    </comment>
    <comment ref="K35" authorId="0" shapeId="0">
      <text>
        <r>
          <rPr>
            <b/>
            <sz val="9"/>
            <color indexed="81"/>
            <rFont val="Tahoma"/>
            <family val="2"/>
            <charset val="238"/>
          </rPr>
          <t>zúčtováno 10/2021</t>
        </r>
      </text>
    </comment>
    <comment ref="O42" authorId="0" shapeId="0">
      <text>
        <r>
          <rPr>
            <b/>
            <sz val="9"/>
            <color indexed="81"/>
            <rFont val="Tahoma"/>
            <family val="2"/>
            <charset val="238"/>
          </rPr>
          <t>nejnižší nájezd v roce</t>
        </r>
      </text>
    </comment>
  </commentList>
</comments>
</file>

<file path=xl/comments2.xml><?xml version="1.0" encoding="utf-8"?>
<comments xmlns="http://schemas.openxmlformats.org/spreadsheetml/2006/main">
  <authors>
    <author>Libuše Vodičková</author>
  </authors>
  <commentLis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průkaz řidiče
ověření taxametru
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  <charset val="238"/>
          </rPr>
          <t>Odměna letní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38"/>
          </rPr>
          <t>roční odměna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  <charset val="238"/>
          </rPr>
          <t>roční odměna řidiče</t>
        </r>
      </text>
    </comment>
  </commentList>
</comments>
</file>

<file path=xl/sharedStrings.xml><?xml version="1.0" encoding="utf-8"?>
<sst xmlns="http://schemas.openxmlformats.org/spreadsheetml/2006/main" count="497" uniqueCount="286">
  <si>
    <t>Datum Dokladu</t>
  </si>
  <si>
    <t>Firma</t>
  </si>
  <si>
    <t>DPH</t>
  </si>
  <si>
    <t>Úcet</t>
  </si>
  <si>
    <t>Stredisko</t>
  </si>
  <si>
    <t>31.01.2021</t>
  </si>
  <si>
    <t>Statutární město Opava</t>
  </si>
  <si>
    <t>5D</t>
  </si>
  <si>
    <t>28.02.2021</t>
  </si>
  <si>
    <t>31.03.2021</t>
  </si>
  <si>
    <t>30.04.2021</t>
  </si>
  <si>
    <t>31.05.2021</t>
  </si>
  <si>
    <t>30.06.2021</t>
  </si>
  <si>
    <t>Základ daně</t>
  </si>
  <si>
    <t>30.09.2020</t>
  </si>
  <si>
    <t>31.10.2020</t>
  </si>
  <si>
    <t>30.11.2020</t>
  </si>
  <si>
    <t>31.12.2020</t>
  </si>
  <si>
    <t>V Ý S L E D O V K A  -  skutecnost po mesících</t>
  </si>
  <si>
    <t>Divize: 00</t>
  </si>
  <si>
    <t xml:space="preserve">  Úcet.období od: 00/2021 do: 12/2021</t>
  </si>
  <si>
    <t>;</t>
  </si>
  <si>
    <t xml:space="preserve">  Úcet od: 500000   do: 699999</t>
  </si>
  <si>
    <t>Stredisko od: 83      do: 83     SENIOR TAXI  1TB 1569;  Cinnost od: *     do: *    ;  Zakázka od: *              do: *</t>
  </si>
  <si>
    <t xml:space="preserve">  CELKEM</t>
  </si>
  <si>
    <t xml:space="preserve"> Poč. stav</t>
  </si>
  <si>
    <t xml:space="preserve"> Leden</t>
  </si>
  <si>
    <t xml:space="preserve"> Únor</t>
  </si>
  <si>
    <t xml:space="preserve"> Březen</t>
  </si>
  <si>
    <t xml:space="preserve"> Duben</t>
  </si>
  <si>
    <t xml:space="preserve"> Květen</t>
  </si>
  <si>
    <t>Červen</t>
  </si>
  <si>
    <t>Název úctu</t>
  </si>
  <si>
    <t xml:space="preserve"> 2021</t>
  </si>
  <si>
    <t>501 111</t>
  </si>
  <si>
    <t>BENZIN</t>
  </si>
  <si>
    <t>501 113</t>
  </si>
  <si>
    <t>CNG - spotřeba</t>
  </si>
  <si>
    <t>501 51</t>
  </si>
  <si>
    <t>MATER.  - opravy dopr.pr.</t>
  </si>
  <si>
    <t>501 70</t>
  </si>
  <si>
    <t>MATER. - provoz.režie</t>
  </si>
  <si>
    <t>501 71</t>
  </si>
  <si>
    <t>Spotřeba-tiskopisy provoz</t>
  </si>
  <si>
    <t>511 51</t>
  </si>
  <si>
    <t>OPRAVY A UDRZ.- dopr.prostř.</t>
  </si>
  <si>
    <t>518 170</t>
  </si>
  <si>
    <t>Spoje-Telecom-provoz</t>
  </si>
  <si>
    <t>518 470</t>
  </si>
  <si>
    <t>Ost..služby - provoz</t>
  </si>
  <si>
    <t>521 121</t>
  </si>
  <si>
    <t>MZDY- ŘIDIČI</t>
  </si>
  <si>
    <t>521 160</t>
  </si>
  <si>
    <t>MZDY - OSTATNI</t>
  </si>
  <si>
    <t>524 21</t>
  </si>
  <si>
    <t>ZAK.POJIŠTĚNI - řidiči</t>
  </si>
  <si>
    <t>524 60</t>
  </si>
  <si>
    <t>ZAK.POJIŠTĚNI - ostatní</t>
  </si>
  <si>
    <t>527 08</t>
  </si>
  <si>
    <t>Zákon.soc.nákl.- správa  DU</t>
  </si>
  <si>
    <t>568 360</t>
  </si>
  <si>
    <t>OFN - ČP .zákon.odpov.</t>
  </si>
  <si>
    <t>568 361</t>
  </si>
  <si>
    <t>OFN - Havar.pojiš.provoz</t>
  </si>
  <si>
    <t>5</t>
  </si>
  <si>
    <t>NÁKLADY</t>
  </si>
  <si>
    <t>602 18</t>
  </si>
  <si>
    <t>TRŽBY - Senior TAXI (důchodci )</t>
  </si>
  <si>
    <t>602 19</t>
  </si>
  <si>
    <t>TRŽBY - Senior TAXI (SMO do 500 tis.)</t>
  </si>
  <si>
    <t>6</t>
  </si>
  <si>
    <t>VÝNOSY</t>
  </si>
  <si>
    <t>kompenzace s marží</t>
  </si>
  <si>
    <t>5.. 6</t>
  </si>
  <si>
    <t>km</t>
  </si>
  <si>
    <t>smluvní cena SMO Kč/km</t>
  </si>
  <si>
    <t>reálná cena do nuly Kč/km</t>
  </si>
  <si>
    <t>reálná cena s marží</t>
  </si>
  <si>
    <t>V nájmu</t>
  </si>
  <si>
    <t>Ve volném</t>
  </si>
  <si>
    <t>∑ Senior TAXI</t>
  </si>
  <si>
    <t>∑ v privátu</t>
  </si>
  <si>
    <t>∑ Celkem</t>
  </si>
  <si>
    <t>Celkem 2020</t>
  </si>
  <si>
    <t>Celkem 2021</t>
  </si>
  <si>
    <t>Číslo Dokladu</t>
  </si>
  <si>
    <t>kg</t>
  </si>
  <si>
    <t>kWh</t>
  </si>
  <si>
    <t>m3</t>
  </si>
  <si>
    <t>leden 2021</t>
  </si>
  <si>
    <t>únor 2021</t>
  </si>
  <si>
    <t>březen 2021</t>
  </si>
  <si>
    <t>duben 2021</t>
  </si>
  <si>
    <t>květen 2021</t>
  </si>
  <si>
    <t>Datum: 05.02.2021</t>
  </si>
  <si>
    <t xml:space="preserve">  Úcet.období od: 00/2020 do: 12/2020</t>
  </si>
  <si>
    <t>Cas: 09:44</t>
  </si>
  <si>
    <t xml:space="preserve"> Srpen</t>
  </si>
  <si>
    <t xml:space="preserve"> Září</t>
  </si>
  <si>
    <t xml:space="preserve"> Říjen</t>
  </si>
  <si>
    <t xml:space="preserve"> Listopad</t>
  </si>
  <si>
    <t xml:space="preserve"> Prosinec</t>
  </si>
  <si>
    <t xml:space="preserve"> 2020</t>
  </si>
  <si>
    <t>501 61</t>
  </si>
  <si>
    <t>Ost.přímé N . ČK, obaly, mat. pro tisk</t>
  </si>
  <si>
    <t>518 469</t>
  </si>
  <si>
    <t>Vstupní a prevent.prohl.-provoz</t>
  </si>
  <si>
    <t>521 108</t>
  </si>
  <si>
    <t>MZDY-SPRAVA</t>
  </si>
  <si>
    <t>524 08</t>
  </si>
  <si>
    <t>ZAK.POJIŠTĚNI - správa - DU</t>
  </si>
  <si>
    <t>538 70</t>
  </si>
  <si>
    <t>Ost. popl.- provoz-DU</t>
  </si>
  <si>
    <t>TRŽBY - Senior TAXI (do 500.000,-Kč)</t>
  </si>
  <si>
    <t>602 94</t>
  </si>
  <si>
    <t>Poskyt.služeb -ostatní</t>
  </si>
  <si>
    <t>kompenzace do nuly</t>
  </si>
  <si>
    <t>Fakturováno</t>
  </si>
  <si>
    <t>Zbývá k fakturaci</t>
  </si>
  <si>
    <t>Celkem s DPH</t>
  </si>
  <si>
    <t>červen 2021</t>
  </si>
  <si>
    <t>501 33</t>
  </si>
  <si>
    <t>PRYŽOVE OBRUCE-pneu</t>
  </si>
  <si>
    <t>OSL - vstupní a prevent.prohl.-provoz</t>
  </si>
  <si>
    <t>538 712</t>
  </si>
  <si>
    <t>Červenec</t>
  </si>
  <si>
    <t>Srpen</t>
  </si>
  <si>
    <t>Září</t>
  </si>
  <si>
    <t>Výnos s reálnou sazbou</t>
  </si>
  <si>
    <t>Výnos z plateb důchodců</t>
  </si>
  <si>
    <t>Výnos celkem</t>
  </si>
  <si>
    <t>Náklad celkem</t>
  </si>
  <si>
    <t>Kontrola - zde musí být nula</t>
  </si>
  <si>
    <t>červenec 2021</t>
  </si>
  <si>
    <t>srpen 2021</t>
  </si>
  <si>
    <t>září 2021</t>
  </si>
  <si>
    <t>účet 501.113</t>
  </si>
  <si>
    <t>648 03</t>
  </si>
  <si>
    <t>501 60</t>
  </si>
  <si>
    <t>MATER.-ostatní  přímé N.</t>
  </si>
  <si>
    <t>511 70</t>
  </si>
  <si>
    <t>OPRAVY A UDRZ.- provoz</t>
  </si>
  <si>
    <t>Ost.daně - ekolog.plyn.NAŠE</t>
  </si>
  <si>
    <t>Ost.p.V.- škody,nehody - DU</t>
  </si>
  <si>
    <t>Říjen</t>
  </si>
  <si>
    <t>říjen 2021</t>
  </si>
  <si>
    <t>Listopad</t>
  </si>
  <si>
    <t>listopad 2021</t>
  </si>
  <si>
    <t>524 70</t>
  </si>
  <si>
    <t>ZAK.POJIŠTĚNI - provoz</t>
  </si>
  <si>
    <t>527 70</t>
  </si>
  <si>
    <t>Zákon.soc.nákl. - provoz</t>
  </si>
  <si>
    <t>568 10</t>
  </si>
  <si>
    <t>OST.FIN.NAKLADY</t>
  </si>
  <si>
    <t>Prosinec</t>
  </si>
  <si>
    <t>prosinec 2021</t>
  </si>
  <si>
    <t>odečteno plnění pojišťovny</t>
  </si>
  <si>
    <t>pro vyúčtování SMO odečteno od oprav</t>
  </si>
  <si>
    <t>km/měsíčně</t>
  </si>
  <si>
    <t>521 200</t>
  </si>
  <si>
    <t>524 200</t>
  </si>
  <si>
    <t>ODVODY - řidiči</t>
  </si>
  <si>
    <t>527 200</t>
  </si>
  <si>
    <t>602 220</t>
  </si>
  <si>
    <t>SLUŽBY-doprava-Senior TAXI (důchodci)</t>
  </si>
  <si>
    <t>602 230</t>
  </si>
  <si>
    <t>SLUŽBY-doprava-Senior TAXI (SMO)</t>
  </si>
  <si>
    <t xml:space="preserve">MZDY - řidiči </t>
  </si>
  <si>
    <t xml:space="preserve">STRAVENKY - řidiči </t>
  </si>
  <si>
    <t>Celkem 2022</t>
  </si>
  <si>
    <t>leden 2022</t>
  </si>
  <si>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</si>
  <si>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</si>
  <si>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</si>
  <si>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</si>
  <si>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</si>
  <si>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</si>
  <si>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</si>
  <si>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</si>
  <si>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</si>
  <si>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</si>
  <si>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</si>
  <si>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</si>
  <si>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1/2021</t>
  </si>
  <si>
    <t>2/2021</t>
  </si>
  <si>
    <t>3/2021</t>
  </si>
  <si>
    <t>4/2021</t>
  </si>
  <si>
    <t>5/2021</t>
  </si>
  <si>
    <t>6/2021</t>
  </si>
  <si>
    <t>7/2021</t>
  </si>
  <si>
    <t>8/2021</t>
  </si>
  <si>
    <t>9/2021</t>
  </si>
  <si>
    <t>10/2021</t>
  </si>
  <si>
    <t>11/2021</t>
  </si>
  <si>
    <t>12/2021</t>
  </si>
  <si>
    <t>9/2020</t>
  </si>
  <si>
    <t>10/2020</t>
  </si>
  <si>
    <t>11/2020</t>
  </si>
  <si>
    <t>12/2020</t>
  </si>
  <si>
    <t>Senior TAXI - km</t>
  </si>
  <si>
    <t>Kč/kg vč. distribuce, bez daně z plynu</t>
  </si>
  <si>
    <t>Výsledovka Senior Taxi 2022 (1TB 15-69)</t>
  </si>
  <si>
    <t>reálná cena CNG včetně distribuce, bez daně z plynu Kč/kg</t>
  </si>
  <si>
    <t>Kč/km</t>
  </si>
  <si>
    <t>Kč/kg</t>
  </si>
  <si>
    <t xml:space="preserve">smluvní cena SMO </t>
  </si>
  <si>
    <t xml:space="preserve">reálná nákladová cena MDPO </t>
  </si>
  <si>
    <t>skutečně sportřebované množství CNG</t>
  </si>
  <si>
    <t>skutečný vozový nájezd km</t>
  </si>
  <si>
    <t>Fakturace Senior Taxi 2022 (1TB 15-69)</t>
  </si>
  <si>
    <t>Kilometry Senior Taxi 2022 (1TB 15-69)</t>
  </si>
  <si>
    <t>Spotřeba CNG Senior Taxi 2022 (1TB 15-69)</t>
  </si>
  <si>
    <t>Období</t>
  </si>
  <si>
    <t>Rozdíl</t>
  </si>
  <si>
    <t>Kontrola nákladů</t>
  </si>
  <si>
    <t>Kontrola km</t>
  </si>
  <si>
    <t>Kontrola daně z plynu</t>
  </si>
  <si>
    <t>Kč CNG</t>
  </si>
  <si>
    <t>Kč distr.</t>
  </si>
  <si>
    <t>Kč celkem</t>
  </si>
  <si>
    <t>účet 538.712</t>
  </si>
  <si>
    <t>daň z plynu</t>
  </si>
  <si>
    <t>zlomový nárůst cen</t>
  </si>
  <si>
    <t>únor 2022</t>
  </si>
  <si>
    <t>jízdy</t>
  </si>
  <si>
    <t xml:space="preserve">počet jízd </t>
  </si>
  <si>
    <t>počet jízd město (30 Kč)</t>
  </si>
  <si>
    <t>počet jízd obce (50 Kč)</t>
  </si>
  <si>
    <t>počet</t>
  </si>
  <si>
    <t>Kč/jízda</t>
  </si>
  <si>
    <t>průměrná nákladová cena jedné jízdy</t>
  </si>
  <si>
    <t>osoby</t>
  </si>
  <si>
    <t>počet přepravených osob</t>
  </si>
  <si>
    <t>km/jízda</t>
  </si>
  <si>
    <t>průměrná délka jedné jízdy</t>
  </si>
  <si>
    <t>568 200</t>
  </si>
  <si>
    <t>Zákonné pojištění pracovníků - 8,4 promile (řidiči)</t>
  </si>
  <si>
    <t>březen 2022</t>
  </si>
  <si>
    <t>duben 2022</t>
  </si>
  <si>
    <t>květen 2022</t>
  </si>
  <si>
    <t>červen 2022</t>
  </si>
  <si>
    <t>červenec 2022</t>
  </si>
  <si>
    <t>srpen 2022</t>
  </si>
  <si>
    <t>prudký nárůst ceny CNG</t>
  </si>
  <si>
    <t>září 2022</t>
  </si>
  <si>
    <t>rozdíl v Kč</t>
  </si>
  <si>
    <r>
      <t xml:space="preserve">Km </t>
    </r>
    <r>
      <rPr>
        <sz val="8"/>
        <color theme="1"/>
        <rFont val="Myriad Pro"/>
        <family val="2"/>
      </rPr>
      <t>dle taxametru</t>
    </r>
  </si>
  <si>
    <t>rozdíl v Km</t>
  </si>
  <si>
    <t>říjen 2022</t>
  </si>
  <si>
    <t>Zasmluvněno (31.8.2020 500 tis. + 19.1.2022 500 tis. + 12/2022 700 tis.)</t>
  </si>
  <si>
    <t>listopad 2022</t>
  </si>
  <si>
    <t>Datum: 31.01.2023</t>
  </si>
  <si>
    <t xml:space="preserve">  Úcet.období od: 00/2022 do: 12/2022</t>
  </si>
  <si>
    <t>Cas: 10:09</t>
  </si>
  <si>
    <t>Stredisko od: 183     do: 183    Doprava - Senior TAXI (1TB 1569);  Cinnost od: *     do: *    ;  Zakázka od: *              do: *</t>
  </si>
  <si>
    <t xml:space="preserve">                                                                                                                                                      M  E  S  Í  C            .</t>
  </si>
  <si>
    <t xml:space="preserve"> Červen</t>
  </si>
  <si>
    <t xml:space="preserve"> Červenec</t>
  </si>
  <si>
    <t xml:space="preserve"> 2022</t>
  </si>
  <si>
    <t>501</t>
  </si>
  <si>
    <t>BUS (CNG), trolejbus Dotace Min.pro míst.rozvoj</t>
  </si>
  <si>
    <t>511</t>
  </si>
  <si>
    <t>OPRAVY A UDRŽOVÁNÍ</t>
  </si>
  <si>
    <t>Ost..služby - provoz (nepoužívat od r. 2023)</t>
  </si>
  <si>
    <t>518</t>
  </si>
  <si>
    <t>OSTATNÍ SLUŽBY</t>
  </si>
  <si>
    <t>MZDY - řidiči (veškeré výkony - MHD i příležitostná)</t>
  </si>
  <si>
    <t>521</t>
  </si>
  <si>
    <t>MZDOVÉ NÁKLADY</t>
  </si>
  <si>
    <t>524</t>
  </si>
  <si>
    <t>ZÁKONNÉ SOCIÁLNÍ A ZDRAVODNÍ POJIŠTĚNÍ</t>
  </si>
  <si>
    <t>STRAVENKY - řidiči (veškeré výkony řidičůMHDi příležitostná)</t>
  </si>
  <si>
    <t>527 500</t>
  </si>
  <si>
    <t>STRAVENKY - správa (THZ, vrátní, úklid, předprodej)</t>
  </si>
  <si>
    <t>527</t>
  </si>
  <si>
    <t>ZÁKONNÉ SOCIÁLNÍ NÁKLADY</t>
  </si>
  <si>
    <t>538</t>
  </si>
  <si>
    <t>OSTATNÍ DANĚ A POPLATKY</t>
  </si>
  <si>
    <t>568</t>
  </si>
  <si>
    <t>OSTATNÍ FINANČNÍ NÁKLADY</t>
  </si>
  <si>
    <t>602</t>
  </si>
  <si>
    <t>TRŽBY Z PRODEJE SLUŽEB</t>
  </si>
  <si>
    <t>Konec sestavy **VÝSLEDOVKA</t>
  </si>
  <si>
    <t>BENZIN+ provozní materiál</t>
  </si>
  <si>
    <t>prosinec 2022</t>
  </si>
  <si>
    <t>Náklady 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</si>
</sst>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;"/>
    <numFmt numFmtId="165" formatCode="#,##0.00;\-#,##0.00;"/>
    <numFmt numFmtId="166" formatCode="#,##0.00_ ;\-#,##0.00\ "/>
  </numFmts>
  <fonts count="2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Myriad Pro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Myriad Pro"/>
      <family val="2"/>
      <charset val="238"/>
    </font>
    <font>
      <b/>
      <sz val="9"/>
      <color indexed="81"/>
      <name val="Tahoma"/>
      <family val="2"/>
      <charset val="238"/>
    </font>
    <font>
      <sz val="11"/>
      <color theme="0" tint="-0.249977111117893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Myriad Pro"/>
      <family val="2"/>
    </font>
    <font>
      <sz val="8"/>
      <color theme="1"/>
      <name val="Myriad Pro"/>
      <family val="2"/>
    </font>
    <font>
      <b/>
      <sz val="20"/>
      <color indexed="8"/>
      <name val="Myriad Pro"/>
      <family val="2"/>
    </font>
    <font>
      <b/>
      <sz val="10"/>
      <color indexed="8"/>
      <name val="Myriad Pro"/>
      <family val="2"/>
    </font>
    <font>
      <b/>
      <sz val="11"/>
      <color theme="1"/>
      <name val="Myriad Pro"/>
      <family val="2"/>
      <charset val="238"/>
    </font>
    <font>
      <sz val="11"/>
      <color theme="0" tint="-0.249977111117893"/>
      <name val="Myriad Pro"/>
      <family val="2"/>
    </font>
    <font>
      <sz val="11"/>
      <name val="Myriad Pro"/>
      <family val="2"/>
    </font>
    <font>
      <b/>
      <sz val="11"/>
      <color rgb="FFFF0000"/>
      <name val="Myriad Pro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292">
    <xf numFmtId="0" fontId="0" fillId="0" borderId="0" xfId="0"/>
    <xf numFmtId="4" fontId="0" fillId="0" borderId="0" xfId="0" applyNumberFormat="1"/>
    <xf numFmtId="0" fontId="2" fillId="2" borderId="0" xfId="0" applyFont="1" applyFill="1"/>
    <xf numFmtId="0" fontId="0" fillId="2" borderId="0" xfId="0" applyFill="1"/>
    <xf numFmtId="0" fontId="3" fillId="3" borderId="1" xfId="0" applyFont="1" applyFill="1" applyBorder="1"/>
    <xf numFmtId="0" fontId="3" fillId="3" borderId="2" xfId="0" applyFont="1" applyFill="1" applyBorder="1"/>
    <xf numFmtId="49" fontId="3" fillId="3" borderId="2" xfId="0" applyNumberFormat="1" applyFont="1" applyFill="1" applyBorder="1"/>
    <xf numFmtId="0" fontId="3" fillId="3" borderId="3" xfId="0" applyFont="1" applyFill="1" applyBorder="1"/>
    <xf numFmtId="49" fontId="3" fillId="3" borderId="3" xfId="0" applyNumberFormat="1" applyFont="1" applyFill="1" applyBorder="1"/>
    <xf numFmtId="49" fontId="0" fillId="0" borderId="0" xfId="0" applyNumberFormat="1"/>
    <xf numFmtId="164" fontId="0" fillId="0" borderId="0" xfId="0" applyNumberFormat="1"/>
    <xf numFmtId="49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64" fontId="3" fillId="4" borderId="0" xfId="0" applyNumberFormat="1" applyFont="1" applyFill="1"/>
    <xf numFmtId="164" fontId="0" fillId="4" borderId="0" xfId="0" applyNumberFormat="1" applyFill="1"/>
    <xf numFmtId="164" fontId="0" fillId="5" borderId="0" xfId="0" applyNumberFormat="1" applyFill="1"/>
    <xf numFmtId="164" fontId="3" fillId="6" borderId="0" xfId="0" applyNumberFormat="1" applyFont="1" applyFill="1"/>
    <xf numFmtId="4" fontId="0" fillId="5" borderId="0" xfId="0" applyNumberFormat="1" applyFill="1"/>
    <xf numFmtId="4" fontId="0" fillId="4" borderId="0" xfId="0" applyNumberFormat="1" applyFill="1"/>
    <xf numFmtId="0" fontId="1" fillId="0" borderId="0" xfId="0" applyFont="1"/>
    <xf numFmtId="0" fontId="1" fillId="7" borderId="0" xfId="0" applyFont="1" applyFill="1"/>
    <xf numFmtId="9" fontId="1" fillId="6" borderId="0" xfId="0" applyNumberFormat="1" applyFont="1" applyFill="1"/>
    <xf numFmtId="4" fontId="1" fillId="0" borderId="0" xfId="0" applyNumberFormat="1" applyFont="1"/>
    <xf numFmtId="4" fontId="1" fillId="7" borderId="0" xfId="0" applyNumberFormat="1" applyFont="1" applyFill="1"/>
    <xf numFmtId="4" fontId="6" fillId="0" borderId="0" xfId="0" applyNumberFormat="1" applyFont="1"/>
    <xf numFmtId="164" fontId="3" fillId="8" borderId="0" xfId="0" applyNumberFormat="1" applyFont="1" applyFill="1"/>
    <xf numFmtId="4" fontId="5" fillId="0" borderId="12" xfId="1" applyNumberFormat="1" applyFont="1" applyBorder="1"/>
    <xf numFmtId="4" fontId="5" fillId="0" borderId="12" xfId="1" applyNumberFormat="1" applyFont="1" applyBorder="1" applyAlignment="1">
      <alignment horizontal="right"/>
    </xf>
    <xf numFmtId="164" fontId="0" fillId="12" borderId="0" xfId="0" applyNumberFormat="1" applyFill="1"/>
    <xf numFmtId="49" fontId="0" fillId="12" borderId="0" xfId="0" applyNumberFormat="1" applyFill="1"/>
    <xf numFmtId="0" fontId="0" fillId="12" borderId="0" xfId="0" applyFill="1"/>
    <xf numFmtId="49" fontId="0" fillId="13" borderId="0" xfId="0" applyNumberFormat="1" applyFill="1"/>
    <xf numFmtId="0" fontId="0" fillId="13" borderId="0" xfId="0" applyFill="1"/>
    <xf numFmtId="164" fontId="0" fillId="13" borderId="0" xfId="0" applyNumberFormat="1" applyFill="1"/>
    <xf numFmtId="49" fontId="0" fillId="14" borderId="0" xfId="0" applyNumberFormat="1" applyFill="1"/>
    <xf numFmtId="0" fontId="0" fillId="14" borderId="0" xfId="0" applyFill="1"/>
    <xf numFmtId="164" fontId="0" fillId="14" borderId="0" xfId="0" applyNumberFormat="1" applyFill="1"/>
    <xf numFmtId="164" fontId="3" fillId="7" borderId="0" xfId="0" applyNumberFormat="1" applyFont="1" applyFill="1"/>
    <xf numFmtId="49" fontId="0" fillId="5" borderId="0" xfId="0" applyNumberFormat="1" applyFill="1"/>
    <xf numFmtId="0" fontId="0" fillId="5" borderId="0" xfId="0" applyFill="1"/>
    <xf numFmtId="0" fontId="1" fillId="6" borderId="0" xfId="0" applyFont="1" applyFill="1"/>
    <xf numFmtId="4" fontId="1" fillId="6" borderId="0" xfId="0" applyNumberFormat="1" applyFont="1" applyFill="1"/>
    <xf numFmtId="9" fontId="1" fillId="11" borderId="0" xfId="0" applyNumberFormat="1" applyFont="1" applyFill="1"/>
    <xf numFmtId="164" fontId="6" fillId="13" borderId="0" xfId="0" applyNumberFormat="1" applyFont="1" applyFill="1"/>
    <xf numFmtId="0" fontId="10" fillId="0" borderId="0" xfId="0" applyFont="1"/>
    <xf numFmtId="4" fontId="10" fillId="0" borderId="0" xfId="0" applyNumberFormat="1" applyFont="1"/>
    <xf numFmtId="0" fontId="11" fillId="0" borderId="0" xfId="0" applyFont="1"/>
    <xf numFmtId="4" fontId="11" fillId="0" borderId="0" xfId="0" applyNumberFormat="1" applyFont="1"/>
    <xf numFmtId="4" fontId="10" fillId="7" borderId="0" xfId="0" applyNumberFormat="1" applyFont="1" applyFill="1"/>
    <xf numFmtId="165" fontId="0" fillId="0" borderId="0" xfId="0" applyNumberFormat="1"/>
    <xf numFmtId="165" fontId="0" fillId="12" borderId="0" xfId="0" applyNumberFormat="1" applyFill="1"/>
    <xf numFmtId="165" fontId="0" fillId="13" borderId="0" xfId="0" applyNumberFormat="1" applyFill="1"/>
    <xf numFmtId="165" fontId="0" fillId="5" borderId="0" xfId="0" applyNumberFormat="1" applyFill="1"/>
    <xf numFmtId="165" fontId="0" fillId="14" borderId="0" xfId="0" applyNumberFormat="1" applyFill="1"/>
    <xf numFmtId="164" fontId="0" fillId="10" borderId="0" xfId="0" applyNumberFormat="1" applyFill="1"/>
    <xf numFmtId="0" fontId="12" fillId="0" borderId="0" xfId="0" applyFont="1"/>
    <xf numFmtId="1" fontId="0" fillId="0" borderId="0" xfId="0" applyNumberFormat="1"/>
    <xf numFmtId="4" fontId="5" fillId="0" borderId="44" xfId="1" applyNumberFormat="1" applyFont="1" applyBorder="1"/>
    <xf numFmtId="4" fontId="5" fillId="0" borderId="42" xfId="1" applyNumberFormat="1" applyFont="1" applyBorder="1" applyAlignment="1">
      <alignment horizontal="right"/>
    </xf>
    <xf numFmtId="4" fontId="5" fillId="0" borderId="42" xfId="1" applyNumberFormat="1" applyFont="1" applyBorder="1"/>
    <xf numFmtId="0" fontId="5" fillId="0" borderId="0" xfId="0" applyFont="1"/>
    <xf numFmtId="49" fontId="5" fillId="0" borderId="17" xfId="1" applyNumberFormat="1" applyFont="1" applyBorder="1" applyAlignment="1">
      <alignment horizontal="left"/>
    </xf>
    <xf numFmtId="4" fontId="5" fillId="0" borderId="44" xfId="1" applyNumberFormat="1" applyFont="1" applyBorder="1" applyAlignment="1">
      <alignment horizontal="right"/>
    </xf>
    <xf numFmtId="4" fontId="5" fillId="0" borderId="0" xfId="0" applyNumberFormat="1" applyFont="1"/>
    <xf numFmtId="49" fontId="5" fillId="0" borderId="21" xfId="1" applyNumberFormat="1" applyFont="1" applyBorder="1" applyAlignment="1">
      <alignment horizontal="left"/>
    </xf>
    <xf numFmtId="49" fontId="5" fillId="0" borderId="33" xfId="1" applyNumberFormat="1" applyFont="1" applyBorder="1" applyAlignment="1">
      <alignment horizontal="left"/>
    </xf>
    <xf numFmtId="0" fontId="13" fillId="0" borderId="0" xfId="0" applyFont="1"/>
    <xf numFmtId="49" fontId="5" fillId="0" borderId="16" xfId="0" applyNumberFormat="1" applyFont="1" applyBorder="1"/>
    <xf numFmtId="4" fontId="5" fillId="0" borderId="17" xfId="0" applyNumberFormat="1" applyFont="1" applyBorder="1"/>
    <xf numFmtId="4" fontId="5" fillId="0" borderId="18" xfId="0" applyNumberFormat="1" applyFont="1" applyBorder="1"/>
    <xf numFmtId="4" fontId="5" fillId="0" borderId="16" xfId="0" applyNumberFormat="1" applyFont="1" applyBorder="1"/>
    <xf numFmtId="4" fontId="5" fillId="9" borderId="19" xfId="0" applyNumberFormat="1" applyFont="1" applyFill="1" applyBorder="1"/>
    <xf numFmtId="4" fontId="5" fillId="7" borderId="16" xfId="0" applyNumberFormat="1" applyFont="1" applyFill="1" applyBorder="1"/>
    <xf numFmtId="49" fontId="5" fillId="0" borderId="6" xfId="0" applyNumberFormat="1" applyFont="1" applyBorder="1"/>
    <xf numFmtId="4" fontId="5" fillId="0" borderId="21" xfId="0" applyNumberFormat="1" applyFont="1" applyBorder="1"/>
    <xf numFmtId="4" fontId="5" fillId="0" borderId="8" xfId="0" applyNumberFormat="1" applyFont="1" applyBorder="1"/>
    <xf numFmtId="4" fontId="5" fillId="0" borderId="20" xfId="0" applyNumberFormat="1" applyFont="1" applyBorder="1"/>
    <xf numFmtId="4" fontId="5" fillId="9" borderId="22" xfId="0" applyNumberFormat="1" applyFont="1" applyFill="1" applyBorder="1"/>
    <xf numFmtId="4" fontId="5" fillId="7" borderId="20" xfId="0" applyNumberFormat="1" applyFont="1" applyFill="1" applyBorder="1"/>
    <xf numFmtId="4" fontId="5" fillId="0" borderId="24" xfId="0" applyNumberFormat="1" applyFont="1" applyBorder="1"/>
    <xf numFmtId="4" fontId="5" fillId="0" borderId="9" xfId="0" applyNumberFormat="1" applyFont="1" applyBorder="1"/>
    <xf numFmtId="4" fontId="5" fillId="0" borderId="23" xfId="0" applyNumberFormat="1" applyFont="1" applyBorder="1"/>
    <xf numFmtId="4" fontId="5" fillId="9" borderId="25" xfId="0" applyNumberFormat="1" applyFont="1" applyFill="1" applyBorder="1"/>
    <xf numFmtId="4" fontId="5" fillId="7" borderId="23" xfId="0" applyNumberFormat="1" applyFont="1" applyFill="1" applyBorder="1"/>
    <xf numFmtId="4" fontId="5" fillId="0" borderId="30" xfId="0" applyNumberFormat="1" applyFont="1" applyBorder="1"/>
    <xf numFmtId="4" fontId="5" fillId="0" borderId="7" xfId="0" applyNumberFormat="1" applyFont="1" applyBorder="1"/>
    <xf numFmtId="4" fontId="5" fillId="0" borderId="29" xfId="0" applyNumberFormat="1" applyFont="1" applyBorder="1"/>
    <xf numFmtId="4" fontId="5" fillId="9" borderId="31" xfId="0" applyNumberFormat="1" applyFont="1" applyFill="1" applyBorder="1"/>
    <xf numFmtId="4" fontId="5" fillId="7" borderId="29" xfId="0" applyNumberFormat="1" applyFont="1" applyFill="1" applyBorder="1"/>
    <xf numFmtId="4" fontId="5" fillId="0" borderId="22" xfId="0" applyNumberFormat="1" applyFont="1" applyBorder="1"/>
    <xf numFmtId="4" fontId="5" fillId="0" borderId="32" xfId="0" applyNumberFormat="1" applyFont="1" applyBorder="1"/>
    <xf numFmtId="4" fontId="5" fillId="0" borderId="19" xfId="0" applyNumberFormat="1" applyFont="1" applyBorder="1"/>
    <xf numFmtId="4" fontId="5" fillId="0" borderId="31" xfId="0" applyNumberFormat="1" applyFont="1" applyBorder="1"/>
    <xf numFmtId="0" fontId="13" fillId="15" borderId="27" xfId="0" applyFont="1" applyFill="1" applyBorder="1"/>
    <xf numFmtId="0" fontId="13" fillId="15" borderId="41" xfId="0" applyFont="1" applyFill="1" applyBorder="1"/>
    <xf numFmtId="0" fontId="13" fillId="15" borderId="45" xfId="0" applyFont="1" applyFill="1" applyBorder="1"/>
    <xf numFmtId="0" fontId="13" fillId="15" borderId="26" xfId="0" applyFont="1" applyFill="1" applyBorder="1"/>
    <xf numFmtId="0" fontId="5" fillId="14" borderId="30" xfId="0" applyFont="1" applyFill="1" applyBorder="1"/>
    <xf numFmtId="0" fontId="5" fillId="14" borderId="40" xfId="0" applyFont="1" applyFill="1" applyBorder="1"/>
    <xf numFmtId="4" fontId="5" fillId="14" borderId="40" xfId="0" applyNumberFormat="1" applyFont="1" applyFill="1" applyBorder="1"/>
    <xf numFmtId="4" fontId="5" fillId="14" borderId="46" xfId="0" applyNumberFormat="1" applyFont="1" applyFill="1" applyBorder="1"/>
    <xf numFmtId="4" fontId="5" fillId="14" borderId="29" xfId="0" applyNumberFormat="1" applyFont="1" applyFill="1" applyBorder="1"/>
    <xf numFmtId="0" fontId="5" fillId="14" borderId="21" xfId="0" applyFont="1" applyFill="1" applyBorder="1"/>
    <xf numFmtId="0" fontId="5" fillId="14" borderId="12" xfId="0" applyFont="1" applyFill="1" applyBorder="1"/>
    <xf numFmtId="4" fontId="5" fillId="14" borderId="12" xfId="0" applyNumberFormat="1" applyFont="1" applyFill="1" applyBorder="1"/>
    <xf numFmtId="4" fontId="5" fillId="14" borderId="47" xfId="0" applyNumberFormat="1" applyFont="1" applyFill="1" applyBorder="1"/>
    <xf numFmtId="4" fontId="5" fillId="14" borderId="20" xfId="0" applyNumberFormat="1" applyFont="1" applyFill="1" applyBorder="1"/>
    <xf numFmtId="0" fontId="5" fillId="14" borderId="24" xfId="0" applyFont="1" applyFill="1" applyBorder="1"/>
    <xf numFmtId="0" fontId="5" fillId="14" borderId="48" xfId="0" applyFont="1" applyFill="1" applyBorder="1"/>
    <xf numFmtId="4" fontId="5" fillId="14" borderId="48" xfId="0" applyNumberFormat="1" applyFont="1" applyFill="1" applyBorder="1"/>
    <xf numFmtId="4" fontId="5" fillId="14" borderId="49" xfId="0" applyNumberFormat="1" applyFont="1" applyFill="1" applyBorder="1"/>
    <xf numFmtId="4" fontId="5" fillId="14" borderId="23" xfId="0" applyNumberFormat="1" applyFont="1" applyFill="1" applyBorder="1"/>
    <xf numFmtId="0" fontId="5" fillId="0" borderId="17" xfId="0" applyFont="1" applyBorder="1"/>
    <xf numFmtId="0" fontId="5" fillId="0" borderId="44" xfId="0" applyFont="1" applyBorder="1"/>
    <xf numFmtId="4" fontId="5" fillId="0" borderId="44" xfId="0" applyNumberFormat="1" applyFont="1" applyBorder="1"/>
    <xf numFmtId="4" fontId="5" fillId="0" borderId="50" xfId="0" applyNumberFormat="1" applyFont="1" applyBorder="1"/>
    <xf numFmtId="0" fontId="5" fillId="0" borderId="21" xfId="0" applyFont="1" applyBorder="1"/>
    <xf numFmtId="0" fontId="5" fillId="0" borderId="12" xfId="0" applyFont="1" applyBorder="1"/>
    <xf numFmtId="4" fontId="5" fillId="0" borderId="12" xfId="0" applyNumberFormat="1" applyFont="1" applyBorder="1"/>
    <xf numFmtId="4" fontId="5" fillId="0" borderId="47" xfId="0" applyNumberFormat="1" applyFont="1" applyBorder="1"/>
    <xf numFmtId="0" fontId="5" fillId="0" borderId="30" xfId="0" applyFont="1" applyBorder="1"/>
    <xf numFmtId="14" fontId="5" fillId="0" borderId="40" xfId="0" applyNumberFormat="1" applyFont="1" applyBorder="1" applyAlignment="1">
      <alignment horizontal="left"/>
    </xf>
    <xf numFmtId="0" fontId="5" fillId="0" borderId="40" xfId="0" applyFont="1" applyBorder="1"/>
    <xf numFmtId="4" fontId="5" fillId="0" borderId="40" xfId="0" applyNumberFormat="1" applyFont="1" applyBorder="1"/>
    <xf numFmtId="4" fontId="5" fillId="0" borderId="46" xfId="0" applyNumberFormat="1" applyFont="1" applyBorder="1"/>
    <xf numFmtId="14" fontId="5" fillId="0" borderId="12" xfId="0" applyNumberFormat="1" applyFont="1" applyBorder="1" applyAlignment="1">
      <alignment horizontal="left"/>
    </xf>
    <xf numFmtId="0" fontId="5" fillId="0" borderId="24" xfId="0" applyFont="1" applyBorder="1"/>
    <xf numFmtId="14" fontId="5" fillId="0" borderId="48" xfId="0" applyNumberFormat="1" applyFont="1" applyBorder="1" applyAlignment="1">
      <alignment horizontal="left"/>
    </xf>
    <xf numFmtId="0" fontId="5" fillId="0" borderId="48" xfId="0" applyFont="1" applyBorder="1"/>
    <xf numFmtId="4" fontId="5" fillId="0" borderId="48" xfId="0" applyNumberFormat="1" applyFont="1" applyBorder="1"/>
    <xf numFmtId="4" fontId="5" fillId="0" borderId="49" xfId="0" applyNumberFormat="1" applyFont="1" applyBorder="1"/>
    <xf numFmtId="0" fontId="5" fillId="0" borderId="33" xfId="0" applyFont="1" applyBorder="1"/>
    <xf numFmtId="14" fontId="5" fillId="0" borderId="42" xfId="0" applyNumberFormat="1" applyFont="1" applyBorder="1" applyAlignment="1">
      <alignment horizontal="left"/>
    </xf>
    <xf numFmtId="0" fontId="5" fillId="0" borderId="42" xfId="0" applyFont="1" applyBorder="1"/>
    <xf numFmtId="4" fontId="5" fillId="0" borderId="42" xfId="0" applyNumberFormat="1" applyFont="1" applyBorder="1"/>
    <xf numFmtId="4" fontId="5" fillId="0" borderId="53" xfId="0" applyNumberFormat="1" applyFont="1" applyBorder="1"/>
    <xf numFmtId="14" fontId="5" fillId="14" borderId="40" xfId="0" applyNumberFormat="1" applyFont="1" applyFill="1" applyBorder="1" applyAlignment="1">
      <alignment horizontal="left"/>
    </xf>
    <xf numFmtId="4" fontId="13" fillId="15" borderId="27" xfId="0" applyNumberFormat="1" applyFont="1" applyFill="1" applyBorder="1"/>
    <xf numFmtId="4" fontId="13" fillId="15" borderId="26" xfId="0" applyNumberFormat="1" applyFont="1" applyFill="1" applyBorder="1"/>
    <xf numFmtId="4" fontId="5" fillId="12" borderId="4" xfId="0" applyNumberFormat="1" applyFont="1" applyFill="1" applyBorder="1"/>
    <xf numFmtId="4" fontId="13" fillId="12" borderId="26" xfId="0" applyNumberFormat="1" applyFont="1" applyFill="1" applyBorder="1"/>
    <xf numFmtId="4" fontId="5" fillId="7" borderId="4" xfId="0" applyNumberFormat="1" applyFont="1" applyFill="1" applyBorder="1"/>
    <xf numFmtId="0" fontId="2" fillId="0" borderId="0" xfId="0" applyFont="1"/>
    <xf numFmtId="0" fontId="15" fillId="0" borderId="0" xfId="0" applyFont="1"/>
    <xf numFmtId="0" fontId="16" fillId="15" borderId="14" xfId="0" applyFont="1" applyFill="1" applyBorder="1"/>
    <xf numFmtId="0" fontId="16" fillId="15" borderId="55" xfId="0" applyFont="1" applyFill="1" applyBorder="1"/>
    <xf numFmtId="49" fontId="16" fillId="15" borderId="13" xfId="0" applyNumberFormat="1" applyFont="1" applyFill="1" applyBorder="1"/>
    <xf numFmtId="49" fontId="16" fillId="15" borderId="57" xfId="0" applyNumberFormat="1" applyFont="1" applyFill="1" applyBorder="1"/>
    <xf numFmtId="49" fontId="5" fillId="0" borderId="17" xfId="0" applyNumberFormat="1" applyFont="1" applyBorder="1"/>
    <xf numFmtId="0" fontId="5" fillId="0" borderId="50" xfId="0" applyFont="1" applyBorder="1"/>
    <xf numFmtId="164" fontId="5" fillId="0" borderId="16" xfId="0" applyNumberFormat="1" applyFont="1" applyBorder="1"/>
    <xf numFmtId="49" fontId="5" fillId="0" borderId="21" xfId="0" applyNumberFormat="1" applyFont="1" applyBorder="1"/>
    <xf numFmtId="0" fontId="5" fillId="0" borderId="47" xfId="0" applyFont="1" applyBorder="1"/>
    <xf numFmtId="164" fontId="5" fillId="0" borderId="20" xfId="0" applyNumberFormat="1" applyFont="1" applyBorder="1"/>
    <xf numFmtId="49" fontId="5" fillId="0" borderId="33" xfId="0" applyNumberFormat="1" applyFont="1" applyBorder="1"/>
    <xf numFmtId="0" fontId="5" fillId="0" borderId="53" xfId="0" applyFont="1" applyBorder="1"/>
    <xf numFmtId="164" fontId="5" fillId="0" borderId="32" xfId="0" applyNumberFormat="1" applyFont="1" applyBorder="1"/>
    <xf numFmtId="49" fontId="16" fillId="12" borderId="54" xfId="0" applyNumberFormat="1" applyFont="1" applyFill="1" applyBorder="1"/>
    <xf numFmtId="0" fontId="16" fillId="12" borderId="56" xfId="0" applyFont="1" applyFill="1" applyBorder="1"/>
    <xf numFmtId="164" fontId="16" fillId="12" borderId="62" xfId="0" applyNumberFormat="1" applyFont="1" applyFill="1" applyBorder="1"/>
    <xf numFmtId="49" fontId="16" fillId="12" borderId="27" xfId="0" applyNumberFormat="1" applyFont="1" applyFill="1" applyBorder="1"/>
    <xf numFmtId="0" fontId="16" fillId="12" borderId="45" xfId="0" applyFont="1" applyFill="1" applyBorder="1"/>
    <xf numFmtId="164" fontId="16" fillId="12" borderId="26" xfId="0" applyNumberFormat="1" applyFont="1" applyFill="1" applyBorder="1"/>
    <xf numFmtId="49" fontId="16" fillId="15" borderId="27" xfId="0" applyNumberFormat="1" applyFont="1" applyFill="1" applyBorder="1"/>
    <xf numFmtId="164" fontId="13" fillId="15" borderId="26" xfId="0" applyNumberFormat="1" applyFont="1" applyFill="1" applyBorder="1"/>
    <xf numFmtId="0" fontId="13" fillId="15" borderId="28" xfId="0" applyFont="1" applyFill="1" applyBorder="1"/>
    <xf numFmtId="4" fontId="13" fillId="15" borderId="43" xfId="0" applyNumberFormat="1" applyFont="1" applyFill="1" applyBorder="1"/>
    <xf numFmtId="0" fontId="5" fillId="0" borderId="31" xfId="0" applyFont="1" applyBorder="1"/>
    <xf numFmtId="4" fontId="5" fillId="0" borderId="61" xfId="0" applyNumberFormat="1" applyFont="1" applyBorder="1"/>
    <xf numFmtId="0" fontId="5" fillId="0" borderId="35" xfId="0" applyFont="1" applyBorder="1"/>
    <xf numFmtId="4" fontId="13" fillId="6" borderId="26" xfId="0" applyNumberFormat="1" applyFont="1" applyFill="1" applyBorder="1"/>
    <xf numFmtId="0" fontId="5" fillId="0" borderId="27" xfId="0" applyFont="1" applyBorder="1"/>
    <xf numFmtId="0" fontId="5" fillId="0" borderId="39" xfId="0" applyFont="1" applyBorder="1"/>
    <xf numFmtId="4" fontId="5" fillId="0" borderId="36" xfId="0" applyNumberFormat="1" applyFont="1" applyBorder="1"/>
    <xf numFmtId="49" fontId="5" fillId="0" borderId="63" xfId="0" applyNumberFormat="1" applyFont="1" applyBorder="1"/>
    <xf numFmtId="4" fontId="5" fillId="0" borderId="25" xfId="0" applyNumberFormat="1" applyFont="1" applyBorder="1"/>
    <xf numFmtId="0" fontId="13" fillId="15" borderId="10" xfId="0" applyFont="1" applyFill="1" applyBorder="1"/>
    <xf numFmtId="0" fontId="13" fillId="15" borderId="14" xfId="0" applyFont="1" applyFill="1" applyBorder="1"/>
    <xf numFmtId="0" fontId="13" fillId="15" borderId="11" xfId="0" applyFont="1" applyFill="1" applyBorder="1"/>
    <xf numFmtId="0" fontId="13" fillId="15" borderId="13" xfId="0" applyFont="1" applyFill="1" applyBorder="1"/>
    <xf numFmtId="0" fontId="13" fillId="15" borderId="15" xfId="0" applyFont="1" applyFill="1" applyBorder="1"/>
    <xf numFmtId="0" fontId="13" fillId="12" borderId="4" xfId="0" applyFont="1" applyFill="1" applyBorder="1" applyAlignment="1">
      <alignment horizontal="right"/>
    </xf>
    <xf numFmtId="4" fontId="13" fillId="12" borderId="27" xfId="0" applyNumberFormat="1" applyFont="1" applyFill="1" applyBorder="1"/>
    <xf numFmtId="4" fontId="13" fillId="12" borderId="5" xfId="0" applyNumberFormat="1" applyFont="1" applyFill="1" applyBorder="1"/>
    <xf numFmtId="4" fontId="13" fillId="12" borderId="28" xfId="0" applyNumberFormat="1" applyFont="1" applyFill="1" applyBorder="1"/>
    <xf numFmtId="4" fontId="5" fillId="0" borderId="50" xfId="1" applyNumberFormat="1" applyFont="1" applyBorder="1"/>
    <xf numFmtId="4" fontId="5" fillId="0" borderId="47" xfId="1" applyNumberFormat="1" applyFont="1" applyBorder="1"/>
    <xf numFmtId="4" fontId="5" fillId="0" borderId="53" xfId="1" applyNumberFormat="1" applyFont="1" applyBorder="1"/>
    <xf numFmtId="4" fontId="5" fillId="8" borderId="16" xfId="1" applyNumberFormat="1" applyFont="1" applyFill="1" applyBorder="1"/>
    <xf numFmtId="4" fontId="5" fillId="8" borderId="20" xfId="1" applyNumberFormat="1" applyFont="1" applyFill="1" applyBorder="1"/>
    <xf numFmtId="4" fontId="5" fillId="8" borderId="32" xfId="1" applyNumberFormat="1" applyFont="1" applyFill="1" applyBorder="1"/>
    <xf numFmtId="0" fontId="13" fillId="15" borderId="27" xfId="1" applyFont="1" applyFill="1" applyBorder="1" applyAlignment="1">
      <alignment horizontal="center" wrapText="1"/>
    </xf>
    <xf numFmtId="0" fontId="13" fillId="15" borderId="41" xfId="1" applyFont="1" applyFill="1" applyBorder="1" applyAlignment="1">
      <alignment horizontal="center" wrapText="1"/>
    </xf>
    <xf numFmtId="0" fontId="13" fillId="15" borderId="44" xfId="1" applyFont="1" applyFill="1" applyBorder="1" applyAlignment="1">
      <alignment horizontal="center" wrapText="1"/>
    </xf>
    <xf numFmtId="0" fontId="13" fillId="15" borderId="50" xfId="1" applyFont="1" applyFill="1" applyBorder="1" applyAlignment="1">
      <alignment horizontal="center" wrapText="1"/>
    </xf>
    <xf numFmtId="0" fontId="13" fillId="15" borderId="16" xfId="1" applyFont="1" applyFill="1" applyBorder="1" applyAlignment="1">
      <alignment horizontal="center" wrapText="1"/>
    </xf>
    <xf numFmtId="0" fontId="13" fillId="15" borderId="5" xfId="1" applyFont="1" applyFill="1" applyBorder="1" applyAlignment="1">
      <alignment horizontal="center" wrapText="1"/>
    </xf>
    <xf numFmtId="4" fontId="5" fillId="0" borderId="18" xfId="1" applyNumberFormat="1" applyFont="1" applyBorder="1" applyAlignment="1">
      <alignment horizontal="right"/>
    </xf>
    <xf numFmtId="4" fontId="5" fillId="0" borderId="8" xfId="1" applyNumberFormat="1" applyFont="1" applyBorder="1" applyAlignment="1">
      <alignment horizontal="right"/>
    </xf>
    <xf numFmtId="4" fontId="5" fillId="0" borderId="34" xfId="1" applyNumberFormat="1" applyFont="1" applyBorder="1" applyAlignment="1">
      <alignment horizontal="right"/>
    </xf>
    <xf numFmtId="3" fontId="5" fillId="0" borderId="17" xfId="1" applyNumberFormat="1" applyFont="1" applyBorder="1" applyAlignment="1">
      <alignment horizontal="right"/>
    </xf>
    <xf numFmtId="3" fontId="5" fillId="0" borderId="18" xfId="1" applyNumberFormat="1" applyFont="1" applyBorder="1" applyAlignment="1">
      <alignment horizontal="right"/>
    </xf>
    <xf numFmtId="3" fontId="5" fillId="0" borderId="21" xfId="1" applyNumberFormat="1" applyFont="1" applyBorder="1" applyAlignment="1">
      <alignment horizontal="right"/>
    </xf>
    <xf numFmtId="3" fontId="5" fillId="0" borderId="8" xfId="1" applyNumberFormat="1" applyFont="1" applyBorder="1" applyAlignment="1">
      <alignment horizontal="right"/>
    </xf>
    <xf numFmtId="3" fontId="5" fillId="0" borderId="33" xfId="1" applyNumberFormat="1" applyFont="1" applyBorder="1" applyAlignment="1">
      <alignment horizontal="right"/>
    </xf>
    <xf numFmtId="3" fontId="5" fillId="0" borderId="34" xfId="1" applyNumberFormat="1" applyFont="1" applyBorder="1" applyAlignment="1">
      <alignment horizontal="right"/>
    </xf>
    <xf numFmtId="3" fontId="5" fillId="0" borderId="50" xfId="1" applyNumberFormat="1" applyFont="1" applyBorder="1" applyAlignment="1">
      <alignment horizontal="right"/>
    </xf>
    <xf numFmtId="3" fontId="5" fillId="0" borderId="47" xfId="1" applyNumberFormat="1" applyFont="1" applyBorder="1" applyAlignment="1">
      <alignment horizontal="right"/>
    </xf>
    <xf numFmtId="3" fontId="5" fillId="0" borderId="53" xfId="1" applyNumberFormat="1" applyFont="1" applyBorder="1" applyAlignment="1">
      <alignment horizontal="right"/>
    </xf>
    <xf numFmtId="4" fontId="5" fillId="6" borderId="20" xfId="1" applyNumberFormat="1" applyFont="1" applyFill="1" applyBorder="1"/>
    <xf numFmtId="164" fontId="5" fillId="0" borderId="58" xfId="0" applyNumberFormat="1" applyFont="1" applyBorder="1"/>
    <xf numFmtId="164" fontId="5" fillId="0" borderId="59" xfId="0" applyNumberFormat="1" applyFont="1" applyBorder="1"/>
    <xf numFmtId="164" fontId="5" fillId="0" borderId="60" xfId="0" applyNumberFormat="1" applyFont="1" applyBorder="1"/>
    <xf numFmtId="164" fontId="13" fillId="6" borderId="26" xfId="0" applyNumberFormat="1" applyFont="1" applyFill="1" applyBorder="1"/>
    <xf numFmtId="4" fontId="5" fillId="6" borderId="16" xfId="1" applyNumberFormat="1" applyFont="1" applyFill="1" applyBorder="1"/>
    <xf numFmtId="49" fontId="5" fillId="0" borderId="30" xfId="0" applyNumberFormat="1" applyFont="1" applyBorder="1"/>
    <xf numFmtId="0" fontId="5" fillId="0" borderId="46" xfId="0" applyFont="1" applyBorder="1"/>
    <xf numFmtId="164" fontId="5" fillId="0" borderId="29" xfId="0" applyNumberFormat="1" applyFont="1" applyBorder="1"/>
    <xf numFmtId="164" fontId="5" fillId="0" borderId="64" xfId="0" applyNumberFormat="1" applyFont="1" applyBorder="1"/>
    <xf numFmtId="164" fontId="5" fillId="0" borderId="19" xfId="0" applyNumberFormat="1" applyFont="1" applyBorder="1"/>
    <xf numFmtId="164" fontId="5" fillId="0" borderId="31" xfId="0" applyNumberFormat="1" applyFont="1" applyBorder="1"/>
    <xf numFmtId="164" fontId="5" fillId="0" borderId="22" xfId="0" applyNumberFormat="1" applyFont="1" applyBorder="1"/>
    <xf numFmtId="164" fontId="5" fillId="0" borderId="35" xfId="0" applyNumberFormat="1" applyFont="1" applyBorder="1"/>
    <xf numFmtId="14" fontId="5" fillId="14" borderId="12" xfId="0" applyNumberFormat="1" applyFont="1" applyFill="1" applyBorder="1" applyAlignment="1">
      <alignment horizontal="left"/>
    </xf>
    <xf numFmtId="0" fontId="18" fillId="0" borderId="0" xfId="0" applyFont="1"/>
    <xf numFmtId="49" fontId="16" fillId="15" borderId="15" xfId="0" applyNumberFormat="1" applyFont="1" applyFill="1" applyBorder="1"/>
    <xf numFmtId="164" fontId="16" fillId="12" borderId="63" xfId="0" applyNumberFormat="1" applyFont="1" applyFill="1" applyBorder="1"/>
    <xf numFmtId="164" fontId="16" fillId="12" borderId="4" xfId="0" applyNumberFormat="1" applyFont="1" applyFill="1" applyBorder="1"/>
    <xf numFmtId="164" fontId="13" fillId="15" borderId="4" xfId="0" applyNumberFormat="1" applyFont="1" applyFill="1" applyBorder="1"/>
    <xf numFmtId="0" fontId="19" fillId="14" borderId="37" xfId="0" applyFont="1" applyFill="1" applyBorder="1"/>
    <xf numFmtId="14" fontId="19" fillId="14" borderId="52" xfId="0" applyNumberFormat="1" applyFont="1" applyFill="1" applyBorder="1" applyAlignment="1">
      <alignment horizontal="left"/>
    </xf>
    <xf numFmtId="0" fontId="19" fillId="14" borderId="52" xfId="0" applyFont="1" applyFill="1" applyBorder="1"/>
    <xf numFmtId="4" fontId="19" fillId="14" borderId="52" xfId="0" applyNumberFormat="1" applyFont="1" applyFill="1" applyBorder="1"/>
    <xf numFmtId="4" fontId="19" fillId="14" borderId="51" xfId="0" applyNumberFormat="1" applyFont="1" applyFill="1" applyBorder="1"/>
    <xf numFmtId="4" fontId="19" fillId="14" borderId="36" xfId="0" applyNumberFormat="1" applyFont="1" applyFill="1" applyBorder="1"/>
    <xf numFmtId="49" fontId="19" fillId="0" borderId="37" xfId="1" applyNumberFormat="1" applyFont="1" applyBorder="1" applyAlignment="1">
      <alignment horizontal="left"/>
    </xf>
    <xf numFmtId="4" fontId="19" fillId="0" borderId="52" xfId="1" applyNumberFormat="1" applyFont="1" applyBorder="1" applyAlignment="1">
      <alignment horizontal="right"/>
    </xf>
    <xf numFmtId="4" fontId="19" fillId="0" borderId="52" xfId="1" applyNumberFormat="1" applyFont="1" applyBorder="1"/>
    <xf numFmtId="4" fontId="19" fillId="0" borderId="51" xfId="1" applyNumberFormat="1" applyFont="1" applyBorder="1"/>
    <xf numFmtId="4" fontId="19" fillId="8" borderId="36" xfId="1" applyNumberFormat="1" applyFont="1" applyFill="1" applyBorder="1"/>
    <xf numFmtId="0" fontId="19" fillId="0" borderId="0" xfId="0" applyFont="1"/>
    <xf numFmtId="3" fontId="19" fillId="0" borderId="38" xfId="1" applyNumberFormat="1" applyFont="1" applyBorder="1" applyAlignment="1">
      <alignment horizontal="right"/>
    </xf>
    <xf numFmtId="3" fontId="19" fillId="0" borderId="37" xfId="1" applyNumberFormat="1" applyFont="1" applyBorder="1" applyAlignment="1">
      <alignment horizontal="right"/>
    </xf>
    <xf numFmtId="4" fontId="19" fillId="0" borderId="38" xfId="1" applyNumberFormat="1" applyFont="1" applyBorder="1" applyAlignment="1">
      <alignment horizontal="right"/>
    </xf>
    <xf numFmtId="3" fontId="19" fillId="0" borderId="51" xfId="1" applyNumberFormat="1" applyFont="1" applyBorder="1" applyAlignment="1">
      <alignment horizontal="right"/>
    </xf>
    <xf numFmtId="0" fontId="19" fillId="14" borderId="54" xfId="0" applyFont="1" applyFill="1" applyBorder="1"/>
    <xf numFmtId="14" fontId="19" fillId="14" borderId="65" xfId="0" applyNumberFormat="1" applyFont="1" applyFill="1" applyBorder="1" applyAlignment="1">
      <alignment horizontal="left"/>
    </xf>
    <xf numFmtId="0" fontId="19" fillId="14" borderId="65" xfId="0" applyFont="1" applyFill="1" applyBorder="1"/>
    <xf numFmtId="4" fontId="19" fillId="14" borderId="65" xfId="0" applyNumberFormat="1" applyFont="1" applyFill="1" applyBorder="1"/>
    <xf numFmtId="4" fontId="19" fillId="14" borderId="56" xfId="0" applyNumberFormat="1" applyFont="1" applyFill="1" applyBorder="1"/>
    <xf numFmtId="4" fontId="19" fillId="14" borderId="62" xfId="0" applyNumberFormat="1" applyFont="1" applyFill="1" applyBorder="1"/>
    <xf numFmtId="0" fontId="19" fillId="14" borderId="21" xfId="0" applyFont="1" applyFill="1" applyBorder="1"/>
    <xf numFmtId="14" fontId="19" fillId="14" borderId="12" xfId="0" applyNumberFormat="1" applyFont="1" applyFill="1" applyBorder="1" applyAlignment="1">
      <alignment horizontal="left"/>
    </xf>
    <xf numFmtId="0" fontId="19" fillId="14" borderId="12" xfId="0" applyFont="1" applyFill="1" applyBorder="1"/>
    <xf numFmtId="4" fontId="19" fillId="14" borderId="12" xfId="0" applyNumberFormat="1" applyFont="1" applyFill="1" applyBorder="1"/>
    <xf numFmtId="4" fontId="19" fillId="14" borderId="47" xfId="0" applyNumberFormat="1" applyFont="1" applyFill="1" applyBorder="1"/>
    <xf numFmtId="4" fontId="19" fillId="14" borderId="20" xfId="0" applyNumberFormat="1" applyFont="1" applyFill="1" applyBorder="1"/>
    <xf numFmtId="49" fontId="5" fillId="0" borderId="30" xfId="1" applyNumberFormat="1" applyFont="1" applyBorder="1" applyAlignment="1">
      <alignment horizontal="left"/>
    </xf>
    <xf numFmtId="4" fontId="5" fillId="0" borderId="40" xfId="1" applyNumberFormat="1" applyFont="1" applyBorder="1" applyAlignment="1">
      <alignment horizontal="right"/>
    </xf>
    <xf numFmtId="4" fontId="5" fillId="0" borderId="40" xfId="1" applyNumberFormat="1" applyFont="1" applyBorder="1"/>
    <xf numFmtId="4" fontId="5" fillId="0" borderId="46" xfId="1" applyNumberFormat="1" applyFont="1" applyBorder="1"/>
    <xf numFmtId="4" fontId="5" fillId="8" borderId="29" xfId="1" applyNumberFormat="1" applyFont="1" applyFill="1" applyBorder="1"/>
    <xf numFmtId="49" fontId="19" fillId="0" borderId="21" xfId="1" applyNumberFormat="1" applyFont="1" applyBorder="1" applyAlignment="1">
      <alignment horizontal="left"/>
    </xf>
    <xf numFmtId="4" fontId="19" fillId="0" borderId="12" xfId="1" applyNumberFormat="1" applyFont="1" applyBorder="1" applyAlignment="1">
      <alignment horizontal="right"/>
    </xf>
    <xf numFmtId="4" fontId="19" fillId="0" borderId="12" xfId="1" applyNumberFormat="1" applyFont="1" applyBorder="1"/>
    <xf numFmtId="4" fontId="19" fillId="0" borderId="47" xfId="1" applyNumberFormat="1" applyFont="1" applyBorder="1"/>
    <xf numFmtId="4" fontId="19" fillId="8" borderId="20" xfId="1" applyNumberFormat="1" applyFont="1" applyFill="1" applyBorder="1"/>
    <xf numFmtId="3" fontId="5" fillId="0" borderId="30" xfId="1" applyNumberFormat="1" applyFont="1" applyBorder="1" applyAlignment="1">
      <alignment horizontal="right"/>
    </xf>
    <xf numFmtId="3" fontId="5" fillId="0" borderId="7" xfId="1" applyNumberFormat="1" applyFont="1" applyBorder="1" applyAlignment="1">
      <alignment horizontal="right"/>
    </xf>
    <xf numFmtId="3" fontId="5" fillId="0" borderId="46" xfId="1" applyNumberFormat="1" applyFont="1" applyBorder="1" applyAlignment="1">
      <alignment horizontal="right"/>
    </xf>
    <xf numFmtId="4" fontId="5" fillId="0" borderId="7" xfId="1" applyNumberFormat="1" applyFont="1" applyBorder="1" applyAlignment="1">
      <alignment horizontal="right"/>
    </xf>
    <xf numFmtId="3" fontId="19" fillId="0" borderId="21" xfId="1" applyNumberFormat="1" applyFont="1" applyBorder="1" applyAlignment="1">
      <alignment horizontal="right"/>
    </xf>
    <xf numFmtId="3" fontId="19" fillId="0" borderId="8" xfId="1" applyNumberFormat="1" applyFont="1" applyBorder="1" applyAlignment="1">
      <alignment horizontal="right"/>
    </xf>
    <xf numFmtId="3" fontId="19" fillId="0" borderId="47" xfId="1" applyNumberFormat="1" applyFont="1" applyBorder="1" applyAlignment="1">
      <alignment horizontal="right"/>
    </xf>
    <xf numFmtId="4" fontId="19" fillId="0" borderId="8" xfId="1" applyNumberFormat="1" applyFont="1" applyBorder="1" applyAlignment="1">
      <alignment horizontal="right"/>
    </xf>
    <xf numFmtId="4" fontId="19" fillId="6" borderId="20" xfId="1" applyNumberFormat="1" applyFont="1" applyFill="1" applyBorder="1"/>
    <xf numFmtId="0" fontId="20" fillId="0" borderId="0" xfId="0" applyFont="1"/>
    <xf numFmtId="166" fontId="20" fillId="0" borderId="0" xfId="0" applyNumberFormat="1" applyFont="1"/>
    <xf numFmtId="0" fontId="13" fillId="15" borderId="4" xfId="0" applyFont="1" applyFill="1" applyBorder="1" applyAlignment="1">
      <alignment horizontal="center" vertical="center"/>
    </xf>
    <xf numFmtId="0" fontId="5" fillId="15" borderId="28" xfId="0" applyFont="1" applyFill="1" applyBorder="1" applyAlignment="1">
      <alignment horizontal="center" vertical="center"/>
    </xf>
    <xf numFmtId="0" fontId="5" fillId="15" borderId="43" xfId="0" applyFont="1" applyFill="1" applyBorder="1" applyAlignment="1">
      <alignment horizontal="center" vertical="center"/>
    </xf>
    <xf numFmtId="0" fontId="13" fillId="12" borderId="4" xfId="0" applyFont="1" applyFill="1" applyBorder="1" applyAlignment="1">
      <alignment horizontal="center" vertical="center"/>
    </xf>
    <xf numFmtId="0" fontId="5" fillId="12" borderId="28" xfId="0" applyFont="1" applyFill="1" applyBorder="1" applyAlignment="1">
      <alignment horizontal="center" vertical="center"/>
    </xf>
    <xf numFmtId="0" fontId="5" fillId="12" borderId="4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43" xfId="0" applyFont="1" applyFill="1" applyBorder="1" applyAlignment="1">
      <alignment horizontal="center" vertical="center"/>
    </xf>
    <xf numFmtId="0" fontId="17" fillId="15" borderId="4" xfId="0" applyFont="1" applyFill="1" applyBorder="1" applyAlignment="1">
      <alignment horizontal="center" vertical="center"/>
    </xf>
    <xf numFmtId="0" fontId="1" fillId="15" borderId="43" xfId="0" applyFont="1" applyFill="1" applyBorder="1" applyAlignment="1">
      <alignment horizontal="center" vertical="center"/>
    </xf>
    <xf numFmtId="0" fontId="1" fillId="15" borderId="28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6" zoomScale="80" zoomScaleNormal="80" workbookViewId="0">
      <selection activeCell="C17" sqref="C17"/>
    </sheetView>
  </sheetViews>
  <sheetFormatPr defaultColWidth="8.7109375" defaultRowHeight="15"/>
  <cols>
    <col min="2" max="2" width="35.42578125" customWidth="1"/>
    <col min="4" max="4" width="9.140625" bestFit="1" customWidth="1"/>
    <col min="5" max="6" width="9.7109375" bestFit="1" customWidth="1"/>
    <col min="7" max="7" width="10.28515625" customWidth="1"/>
    <col min="8" max="8" width="10.140625" bestFit="1" customWidth="1"/>
    <col min="9" max="9" width="10.28515625" bestFit="1" customWidth="1"/>
  </cols>
  <sheetData>
    <row r="1" spans="1:8" ht="26.25">
      <c r="A1" s="2"/>
      <c r="B1" s="2" t="s">
        <v>18</v>
      </c>
      <c r="C1" s="3"/>
      <c r="D1" s="3"/>
      <c r="E1" s="3"/>
      <c r="F1" s="3"/>
      <c r="G1" s="3" t="s">
        <v>94</v>
      </c>
      <c r="H1" s="3"/>
    </row>
    <row r="2" spans="1:8">
      <c r="A2" s="3" t="s">
        <v>19</v>
      </c>
      <c r="B2" s="3" t="s">
        <v>95</v>
      </c>
      <c r="C2" s="3"/>
      <c r="D2" s="3"/>
      <c r="E2" s="3"/>
      <c r="F2" s="3"/>
      <c r="G2" s="3" t="s">
        <v>96</v>
      </c>
      <c r="H2" s="3"/>
    </row>
    <row r="3" spans="1:8" ht="15.75" thickBot="1">
      <c r="A3" s="3"/>
      <c r="B3" s="3" t="s">
        <v>22</v>
      </c>
      <c r="C3" s="3"/>
      <c r="D3" s="3"/>
      <c r="E3" s="3"/>
      <c r="F3" s="3"/>
      <c r="G3" s="3"/>
      <c r="H3" s="3"/>
    </row>
    <row r="4" spans="1:8" ht="15.75" thickTop="1">
      <c r="A4" s="4"/>
      <c r="B4" s="4"/>
      <c r="C4" s="4"/>
      <c r="D4" s="4"/>
      <c r="E4" s="4"/>
      <c r="F4" s="4"/>
      <c r="G4" s="4"/>
      <c r="H4" s="4" t="s">
        <v>24</v>
      </c>
    </row>
    <row r="5" spans="1:8">
      <c r="A5" s="5"/>
      <c r="B5" s="5"/>
      <c r="C5" s="6" t="s">
        <v>97</v>
      </c>
      <c r="D5" s="6" t="s">
        <v>98</v>
      </c>
      <c r="E5" s="6" t="s">
        <v>99</v>
      </c>
      <c r="F5" s="6" t="s">
        <v>100</v>
      </c>
      <c r="G5" s="6" t="s">
        <v>101</v>
      </c>
      <c r="H5" s="6"/>
    </row>
    <row r="6" spans="1:8" ht="15.75" thickBot="1">
      <c r="A6" s="7" t="s">
        <v>3</v>
      </c>
      <c r="B6" s="7" t="s">
        <v>32</v>
      </c>
      <c r="C6" s="8" t="s">
        <v>102</v>
      </c>
      <c r="D6" s="8" t="s">
        <v>102</v>
      </c>
      <c r="E6" s="8" t="s">
        <v>102</v>
      </c>
      <c r="F6" s="8" t="s">
        <v>102</v>
      </c>
      <c r="G6" s="8" t="s">
        <v>102</v>
      </c>
      <c r="H6" s="8"/>
    </row>
    <row r="7" spans="1:8" ht="15.75" thickTop="1">
      <c r="A7" s="9" t="s">
        <v>34</v>
      </c>
      <c r="B7" t="s">
        <v>35</v>
      </c>
      <c r="C7" s="10">
        <v>0</v>
      </c>
      <c r="D7" s="10">
        <v>0</v>
      </c>
      <c r="E7" s="10">
        <v>0</v>
      </c>
      <c r="F7" s="10">
        <v>165.22</v>
      </c>
      <c r="G7" s="10">
        <v>0</v>
      </c>
      <c r="H7" s="10">
        <f>SUM(C7:G7)</f>
        <v>165.22</v>
      </c>
    </row>
    <row r="8" spans="1:8">
      <c r="A8" s="9" t="s">
        <v>36</v>
      </c>
      <c r="B8" t="s">
        <v>37</v>
      </c>
      <c r="C8" s="10">
        <v>0</v>
      </c>
      <c r="D8" s="10">
        <v>794.52</v>
      </c>
      <c r="E8" s="10">
        <v>1106.53</v>
      </c>
      <c r="F8" s="10">
        <v>1306.55</v>
      </c>
      <c r="G8" s="10">
        <v>1034.08</v>
      </c>
      <c r="H8" s="10">
        <f t="shared" ref="H8:H19" si="0">SUM(C8:G8)</f>
        <v>4241.68</v>
      </c>
    </row>
    <row r="9" spans="1:8">
      <c r="A9" s="9" t="s">
        <v>103</v>
      </c>
      <c r="B9" t="s">
        <v>104</v>
      </c>
      <c r="C9" s="10">
        <v>39.9</v>
      </c>
      <c r="D9" s="10">
        <v>0</v>
      </c>
      <c r="E9" s="10">
        <v>0</v>
      </c>
      <c r="F9" s="10">
        <v>0</v>
      </c>
      <c r="G9" s="10">
        <v>0</v>
      </c>
      <c r="H9" s="10">
        <f t="shared" si="0"/>
        <v>39.9</v>
      </c>
    </row>
    <row r="10" spans="1:8">
      <c r="A10" s="9" t="s">
        <v>40</v>
      </c>
      <c r="B10" t="s">
        <v>41</v>
      </c>
      <c r="C10" s="10">
        <v>537.16</v>
      </c>
      <c r="D10" s="10">
        <v>102.6</v>
      </c>
      <c r="E10" s="10">
        <v>0</v>
      </c>
      <c r="F10" s="10">
        <v>0</v>
      </c>
      <c r="G10" s="10">
        <v>0</v>
      </c>
      <c r="H10" s="10">
        <f t="shared" si="0"/>
        <v>639.76</v>
      </c>
    </row>
    <row r="11" spans="1:8">
      <c r="A11" s="9" t="s">
        <v>44</v>
      </c>
      <c r="B11" t="s">
        <v>45</v>
      </c>
      <c r="C11" s="10">
        <v>0</v>
      </c>
      <c r="D11" s="10">
        <v>0</v>
      </c>
      <c r="E11" s="10">
        <v>0</v>
      </c>
      <c r="F11" s="10">
        <v>0</v>
      </c>
      <c r="G11" s="10">
        <v>578.51</v>
      </c>
      <c r="H11" s="10">
        <f t="shared" si="0"/>
        <v>578.51</v>
      </c>
    </row>
    <row r="12" spans="1:8">
      <c r="A12" s="9" t="s">
        <v>46</v>
      </c>
      <c r="B12" t="s">
        <v>47</v>
      </c>
      <c r="C12" s="10">
        <v>11.299999999999999</v>
      </c>
      <c r="D12" s="10">
        <v>50.26</v>
      </c>
      <c r="E12" s="10">
        <v>50.169999999999995</v>
      </c>
      <c r="F12" s="10">
        <v>50.05</v>
      </c>
      <c r="G12" s="10">
        <v>49</v>
      </c>
      <c r="H12" s="10">
        <f t="shared" si="0"/>
        <v>210.77999999999997</v>
      </c>
    </row>
    <row r="13" spans="1:8">
      <c r="A13" s="9" t="s">
        <v>105</v>
      </c>
      <c r="B13" t="s">
        <v>106</v>
      </c>
      <c r="C13" s="10">
        <v>0</v>
      </c>
      <c r="D13" s="10">
        <v>400</v>
      </c>
      <c r="E13" s="10">
        <v>0</v>
      </c>
      <c r="F13" s="10">
        <v>0</v>
      </c>
      <c r="G13" s="10">
        <v>0</v>
      </c>
      <c r="H13" s="10">
        <f t="shared" si="0"/>
        <v>400</v>
      </c>
    </row>
    <row r="14" spans="1:8">
      <c r="A14" s="9" t="s">
        <v>48</v>
      </c>
      <c r="B14" t="s">
        <v>49</v>
      </c>
      <c r="C14" s="10">
        <v>0</v>
      </c>
      <c r="D14" s="10">
        <v>292.16999999999996</v>
      </c>
      <c r="E14" s="10">
        <v>0</v>
      </c>
      <c r="F14" s="10">
        <v>0</v>
      </c>
      <c r="G14" s="10">
        <v>0</v>
      </c>
      <c r="H14" s="10">
        <f t="shared" si="0"/>
        <v>292.16999999999996</v>
      </c>
    </row>
    <row r="15" spans="1:8">
      <c r="A15" s="9" t="s">
        <v>107</v>
      </c>
      <c r="B15" t="s">
        <v>108</v>
      </c>
      <c r="C15" s="10">
        <v>1100</v>
      </c>
      <c r="D15" s="10">
        <v>25457</v>
      </c>
      <c r="E15" s="10">
        <v>24571</v>
      </c>
      <c r="F15" s="10">
        <v>23195</v>
      </c>
      <c r="G15" s="10">
        <v>27446</v>
      </c>
      <c r="H15" s="10">
        <f t="shared" si="0"/>
        <v>101769</v>
      </c>
    </row>
    <row r="16" spans="1:8">
      <c r="A16" s="9" t="s">
        <v>109</v>
      </c>
      <c r="B16" t="s">
        <v>110</v>
      </c>
      <c r="C16" s="10">
        <v>372.69</v>
      </c>
      <c r="D16" s="10">
        <v>8604.9299999999985</v>
      </c>
      <c r="E16" s="10">
        <v>8306.25</v>
      </c>
      <c r="F16" s="10">
        <v>7841.3399999999992</v>
      </c>
      <c r="G16" s="10">
        <v>9277.2099999999991</v>
      </c>
      <c r="H16" s="10">
        <f t="shared" si="0"/>
        <v>34402.42</v>
      </c>
    </row>
    <row r="17" spans="1:9">
      <c r="A17" s="9" t="s">
        <v>111</v>
      </c>
      <c r="B17" t="s">
        <v>112</v>
      </c>
      <c r="C17" s="10">
        <v>4000</v>
      </c>
      <c r="D17" s="10">
        <v>0</v>
      </c>
      <c r="E17" s="10">
        <v>0</v>
      </c>
      <c r="F17" s="10">
        <v>0</v>
      </c>
      <c r="G17" s="10">
        <v>0</v>
      </c>
      <c r="H17" s="10">
        <f t="shared" si="0"/>
        <v>4000</v>
      </c>
    </row>
    <row r="18" spans="1:9">
      <c r="A18" s="9" t="s">
        <v>60</v>
      </c>
      <c r="B18" t="s">
        <v>61</v>
      </c>
      <c r="C18" s="10">
        <v>0</v>
      </c>
      <c r="D18" s="10">
        <v>299</v>
      </c>
      <c r="E18" s="10">
        <v>0</v>
      </c>
      <c r="F18" s="10">
        <v>0</v>
      </c>
      <c r="G18" s="10">
        <v>0</v>
      </c>
      <c r="H18" s="10">
        <f t="shared" si="0"/>
        <v>299</v>
      </c>
    </row>
    <row r="19" spans="1:9">
      <c r="A19" s="9" t="s">
        <v>62</v>
      </c>
      <c r="B19" t="s">
        <v>63</v>
      </c>
      <c r="C19" s="10">
        <v>0</v>
      </c>
      <c r="D19" s="10">
        <v>5457.5999999999995</v>
      </c>
      <c r="E19" s="10">
        <v>0</v>
      </c>
      <c r="F19" s="10">
        <v>0</v>
      </c>
      <c r="G19" s="10">
        <v>0</v>
      </c>
      <c r="H19" s="10">
        <f t="shared" si="0"/>
        <v>5457.5999999999995</v>
      </c>
    </row>
    <row r="20" spans="1:9">
      <c r="A20" s="9" t="s">
        <v>58</v>
      </c>
      <c r="B20" t="s">
        <v>59</v>
      </c>
      <c r="C20" s="25">
        <v>55</v>
      </c>
      <c r="D20" s="25">
        <v>1177</v>
      </c>
      <c r="E20" s="25">
        <v>1166</v>
      </c>
      <c r="F20" s="25">
        <v>1100</v>
      </c>
      <c r="G20" s="25">
        <v>1100</v>
      </c>
      <c r="H20" s="10">
        <f>SUM(C20:G20)</f>
        <v>4598</v>
      </c>
    </row>
    <row r="21" spans="1:9">
      <c r="A21" s="11" t="s">
        <v>64</v>
      </c>
      <c r="B21" s="12" t="s">
        <v>65</v>
      </c>
      <c r="C21" s="13">
        <f>SUM(C7:C20)</f>
        <v>6116.0499999999993</v>
      </c>
      <c r="D21" s="13">
        <f t="shared" ref="D21:G21" si="1">SUM(D7:D20)</f>
        <v>42635.079999999994</v>
      </c>
      <c r="E21" s="13">
        <f t="shared" si="1"/>
        <v>35199.949999999997</v>
      </c>
      <c r="F21" s="13">
        <f t="shared" si="1"/>
        <v>33658.160000000003</v>
      </c>
      <c r="G21" s="13">
        <f t="shared" si="1"/>
        <v>39484.800000000003</v>
      </c>
      <c r="H21" s="14">
        <f>SUM(H7:H20)</f>
        <v>157094.04</v>
      </c>
    </row>
    <row r="22" spans="1:9">
      <c r="A22" s="9"/>
      <c r="C22" s="10"/>
      <c r="D22" s="10"/>
      <c r="E22" s="10"/>
      <c r="F22" s="10"/>
      <c r="G22" s="10"/>
      <c r="H22" s="10"/>
      <c r="I22" s="10"/>
    </row>
    <row r="23" spans="1:9">
      <c r="A23" s="9" t="s">
        <v>66</v>
      </c>
      <c r="B23" t="s">
        <v>113</v>
      </c>
      <c r="C23" s="10">
        <v>0</v>
      </c>
      <c r="D23" s="10">
        <v>-2082.4699999999998</v>
      </c>
      <c r="E23" s="10">
        <v>-2379.89</v>
      </c>
      <c r="F23" s="10">
        <v>-3173.2299999999996</v>
      </c>
      <c r="G23" s="10">
        <v>-2652.6699999999996</v>
      </c>
      <c r="H23" s="15">
        <f>SUM(C23:G23)</f>
        <v>-10288.259999999998</v>
      </c>
    </row>
    <row r="24" spans="1:9">
      <c r="A24" s="9" t="s">
        <v>114</v>
      </c>
      <c r="B24" t="s">
        <v>115</v>
      </c>
      <c r="C24" s="10">
        <v>0</v>
      </c>
      <c r="D24" s="10">
        <v>-9458.7099999999991</v>
      </c>
      <c r="E24" s="10">
        <v>-13477.31</v>
      </c>
      <c r="F24" s="10">
        <v>-16245.33</v>
      </c>
      <c r="G24" s="10">
        <v>-13491.46</v>
      </c>
      <c r="H24" s="16">
        <f>SUM(C24:G24)</f>
        <v>-52672.81</v>
      </c>
    </row>
    <row r="25" spans="1:9">
      <c r="A25" s="11" t="s">
        <v>70</v>
      </c>
      <c r="B25" s="12" t="s">
        <v>71</v>
      </c>
      <c r="C25" s="13">
        <v>0</v>
      </c>
      <c r="D25" s="13">
        <f>SUM(D23:D24)</f>
        <v>-11541.179999999998</v>
      </c>
      <c r="E25" s="13">
        <f t="shared" ref="E25:H25" si="2">SUM(E23:E24)</f>
        <v>-15857.199999999999</v>
      </c>
      <c r="F25" s="13">
        <f t="shared" si="2"/>
        <v>-19418.559999999998</v>
      </c>
      <c r="G25" s="13">
        <f t="shared" si="2"/>
        <v>-16144.13</v>
      </c>
      <c r="H25" s="13">
        <f t="shared" si="2"/>
        <v>-62961.069999999992</v>
      </c>
    </row>
    <row r="26" spans="1:9">
      <c r="A26" s="9"/>
      <c r="C26" s="10"/>
      <c r="D26" s="10"/>
      <c r="E26" s="10"/>
      <c r="F26" s="10"/>
      <c r="G26" s="10"/>
      <c r="H26" s="10"/>
    </row>
    <row r="27" spans="1:9">
      <c r="A27" s="11" t="s">
        <v>73</v>
      </c>
      <c r="B27" s="12"/>
      <c r="C27" s="13">
        <f>-C25-C21</f>
        <v>-6116.0499999999993</v>
      </c>
      <c r="D27" s="13">
        <f t="shared" ref="D27:H27" si="3">-D25-D21</f>
        <v>-31093.899999999994</v>
      </c>
      <c r="E27" s="13">
        <f t="shared" si="3"/>
        <v>-19342.75</v>
      </c>
      <c r="F27" s="13">
        <f t="shared" si="3"/>
        <v>-14239.600000000006</v>
      </c>
      <c r="G27" s="13">
        <f t="shared" si="3"/>
        <v>-23340.670000000006</v>
      </c>
      <c r="H27" s="26">
        <f t="shared" si="3"/>
        <v>-94132.970000000016</v>
      </c>
      <c r="I27" t="s">
        <v>116</v>
      </c>
    </row>
    <row r="28" spans="1:9">
      <c r="A28" s="11"/>
      <c r="B28" s="12"/>
      <c r="C28" s="13"/>
      <c r="D28" s="13"/>
      <c r="E28" s="13"/>
      <c r="F28" s="13"/>
      <c r="G28" s="13"/>
      <c r="H28" s="17">
        <f>H27+(H27*$C$34)</f>
        <v>-94132.970000000016</v>
      </c>
      <c r="I28" t="s">
        <v>72</v>
      </c>
    </row>
    <row r="29" spans="1:9">
      <c r="A29" s="9"/>
      <c r="C29" s="10"/>
      <c r="D29" s="10"/>
      <c r="E29" s="10"/>
      <c r="F29" s="10"/>
      <c r="G29" s="10"/>
      <c r="H29" s="10"/>
    </row>
    <row r="30" spans="1:9">
      <c r="H30" t="s">
        <v>74</v>
      </c>
    </row>
    <row r="31" spans="1:9">
      <c r="B31" s="20" t="s">
        <v>74</v>
      </c>
      <c r="C31" s="20"/>
      <c r="D31" s="20">
        <v>668.46</v>
      </c>
      <c r="E31" s="20">
        <v>952.46</v>
      </c>
      <c r="F31" s="20">
        <v>1148.08</v>
      </c>
      <c r="G31" s="20">
        <v>953.46</v>
      </c>
      <c r="H31" s="21">
        <f>SUM(D31:G31)</f>
        <v>3722.46</v>
      </c>
      <c r="I31" s="18">
        <f>H31*H32</f>
        <v>52672.809000000001</v>
      </c>
    </row>
    <row r="32" spans="1:9">
      <c r="B32" t="s">
        <v>75</v>
      </c>
      <c r="D32" s="1">
        <v>14.15</v>
      </c>
      <c r="E32" s="1">
        <v>14.15</v>
      </c>
      <c r="F32" s="1">
        <v>14.15</v>
      </c>
      <c r="G32" s="1">
        <v>14.15</v>
      </c>
      <c r="H32" s="1">
        <v>14.15</v>
      </c>
      <c r="I32" s="19">
        <f>H33*H31</f>
        <v>146805.78</v>
      </c>
    </row>
    <row r="33" spans="2:8">
      <c r="B33" t="s">
        <v>76</v>
      </c>
      <c r="D33" s="1">
        <f>(D21+D23)/D31</f>
        <v>60.665724201896886</v>
      </c>
      <c r="E33" s="1">
        <f>(E21+E23)/E31</f>
        <v>34.458202969153554</v>
      </c>
      <c r="F33" s="1">
        <f>(F21+F23)/F31</f>
        <v>26.552966692216575</v>
      </c>
      <c r="G33" s="1">
        <f>(G21+G23)/G31</f>
        <v>38.629968745411453</v>
      </c>
      <c r="H33" s="1">
        <f>(H21+H23)/H31</f>
        <v>39.437839493238343</v>
      </c>
    </row>
    <row r="34" spans="2:8">
      <c r="B34" s="20" t="s">
        <v>77</v>
      </c>
      <c r="C34" s="22">
        <v>0</v>
      </c>
      <c r="D34" s="23">
        <f>(D33*$C$34)+D33</f>
        <v>60.665724201896886</v>
      </c>
      <c r="E34" s="23">
        <f>(E33*$C$34)+E33</f>
        <v>34.458202969153554</v>
      </c>
      <c r="F34" s="23">
        <f>(F33*$C$34)+F33</f>
        <v>26.552966692216575</v>
      </c>
      <c r="G34" s="23">
        <f>(G33*$C$34)+G33</f>
        <v>38.629968745411453</v>
      </c>
      <c r="H34" s="24">
        <f>(H33*$C$34)+H33</f>
        <v>39.437839493238343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2"/>
  <sheetViews>
    <sheetView zoomScale="70" zoomScaleNormal="70" workbookViewId="0">
      <pane xSplit="2" ySplit="6" topLeftCell="E7" activePane="bottomRight" state="frozen"/>
      <selection pane="topRight" activeCell="C1" sqref="C1"/>
      <selection pane="bottomLeft" activeCell="A7" sqref="A7"/>
      <selection pane="bottomRight" activeCell="E42" sqref="E42:E45"/>
    </sheetView>
  </sheetViews>
  <sheetFormatPr defaultColWidth="8.7109375" defaultRowHeight="15"/>
  <cols>
    <col min="2" max="2" width="38.7109375" customWidth="1"/>
    <col min="3" max="17" width="13.28515625" customWidth="1"/>
  </cols>
  <sheetData>
    <row r="1" spans="1:19" ht="26.25">
      <c r="A1" s="2"/>
      <c r="B1" s="2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>
      <c r="A2" s="3" t="s">
        <v>19</v>
      </c>
      <c r="B2" s="3" t="s">
        <v>20</v>
      </c>
      <c r="C2" s="3" t="s">
        <v>21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 ht="15.75" thickBot="1">
      <c r="A3" s="3"/>
      <c r="B3" s="3" t="s">
        <v>22</v>
      </c>
      <c r="C3" s="3" t="s">
        <v>23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9" ht="15.75" thickTop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 t="s">
        <v>24</v>
      </c>
      <c r="Q4" s="4" t="s">
        <v>24</v>
      </c>
    </row>
    <row r="5" spans="1:19">
      <c r="A5" s="5"/>
      <c r="B5" s="5"/>
      <c r="C5" s="6" t="s">
        <v>25</v>
      </c>
      <c r="D5" s="6" t="s">
        <v>26</v>
      </c>
      <c r="E5" s="6" t="s">
        <v>27</v>
      </c>
      <c r="F5" s="6" t="s">
        <v>28</v>
      </c>
      <c r="G5" s="6" t="s">
        <v>29</v>
      </c>
      <c r="H5" s="6" t="s">
        <v>30</v>
      </c>
      <c r="I5" s="6" t="s">
        <v>31</v>
      </c>
      <c r="J5" s="6" t="s">
        <v>125</v>
      </c>
      <c r="K5" s="6" t="s">
        <v>126</v>
      </c>
      <c r="L5" s="6" t="s">
        <v>127</v>
      </c>
      <c r="M5" s="6" t="s">
        <v>144</v>
      </c>
      <c r="N5" s="6" t="s">
        <v>146</v>
      </c>
      <c r="O5" s="6" t="s">
        <v>154</v>
      </c>
      <c r="P5" s="6"/>
      <c r="Q5" s="6"/>
    </row>
    <row r="6" spans="1:19" ht="15.75" thickBot="1">
      <c r="A6" s="7" t="s">
        <v>3</v>
      </c>
      <c r="B6" s="7" t="s">
        <v>32</v>
      </c>
      <c r="C6" s="8" t="s">
        <v>33</v>
      </c>
      <c r="D6" s="8" t="s">
        <v>33</v>
      </c>
      <c r="E6" s="8" t="s">
        <v>33</v>
      </c>
      <c r="F6" s="8" t="s">
        <v>33</v>
      </c>
      <c r="G6" s="8" t="s">
        <v>33</v>
      </c>
      <c r="H6" s="8" t="s">
        <v>33</v>
      </c>
      <c r="I6" s="8" t="s">
        <v>33</v>
      </c>
      <c r="J6" s="8" t="s">
        <v>33</v>
      </c>
      <c r="K6" s="8" t="s">
        <v>33</v>
      </c>
      <c r="L6" s="8" t="s">
        <v>33</v>
      </c>
      <c r="M6" s="8" t="s">
        <v>33</v>
      </c>
      <c r="N6" s="8" t="s">
        <v>33</v>
      </c>
      <c r="O6" s="8" t="s">
        <v>33</v>
      </c>
      <c r="P6" s="8"/>
      <c r="Q6" s="8"/>
    </row>
    <row r="7" spans="1:19" ht="15.75" thickTop="1">
      <c r="A7" s="9" t="s">
        <v>34</v>
      </c>
      <c r="B7" t="s">
        <v>35</v>
      </c>
      <c r="C7" s="10">
        <v>0</v>
      </c>
      <c r="D7" s="10">
        <v>0</v>
      </c>
      <c r="E7" s="10">
        <v>138.76999999999998</v>
      </c>
      <c r="F7" s="10">
        <v>0</v>
      </c>
      <c r="G7" s="10">
        <v>0</v>
      </c>
      <c r="H7" s="10">
        <v>206.60999999999999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50">
        <v>248.1</v>
      </c>
      <c r="P7" s="10">
        <f t="shared" ref="P7:P30" si="0">SUM(C7:O7)</f>
        <v>593.48</v>
      </c>
      <c r="Q7" s="10">
        <v>593.48</v>
      </c>
    </row>
    <row r="8" spans="1:19">
      <c r="A8" s="9" t="s">
        <v>36</v>
      </c>
      <c r="B8" t="s">
        <v>37</v>
      </c>
      <c r="C8" s="10">
        <v>0</v>
      </c>
      <c r="D8" s="10">
        <v>774.38</v>
      </c>
      <c r="E8" s="10">
        <v>898.96999999999991</v>
      </c>
      <c r="F8" s="10">
        <v>884</v>
      </c>
      <c r="G8" s="10">
        <v>777.38</v>
      </c>
      <c r="H8" s="10">
        <v>872.38</v>
      </c>
      <c r="I8" s="10">
        <v>994.4899999999999</v>
      </c>
      <c r="J8" s="10">
        <v>1301.1699999999998</v>
      </c>
      <c r="K8" s="10">
        <v>1068.3399999999999</v>
      </c>
      <c r="L8" s="10">
        <v>1273.9799999999998</v>
      </c>
      <c r="M8" s="10">
        <v>1140.58</v>
      </c>
      <c r="N8" s="10">
        <v>1205.06</v>
      </c>
      <c r="O8" s="50">
        <v>960</v>
      </c>
      <c r="P8" s="10">
        <f t="shared" si="0"/>
        <v>12150.73</v>
      </c>
      <c r="Q8" s="10">
        <v>12150.73</v>
      </c>
    </row>
    <row r="9" spans="1:19">
      <c r="A9" s="9" t="s">
        <v>121</v>
      </c>
      <c r="B9" t="s">
        <v>122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1763.56</v>
      </c>
      <c r="K9" s="10">
        <v>0</v>
      </c>
      <c r="L9" s="10">
        <v>0</v>
      </c>
      <c r="M9" s="10">
        <v>0</v>
      </c>
      <c r="N9" s="10">
        <v>0</v>
      </c>
      <c r="O9" s="50">
        <v>4493.4399999999996</v>
      </c>
      <c r="P9" s="10">
        <f t="shared" si="0"/>
        <v>6257</v>
      </c>
      <c r="Q9" s="10">
        <v>6257</v>
      </c>
    </row>
    <row r="10" spans="1:19">
      <c r="A10" s="9" t="s">
        <v>38</v>
      </c>
      <c r="B10" t="s">
        <v>39</v>
      </c>
      <c r="C10" s="10">
        <v>0</v>
      </c>
      <c r="D10" s="10">
        <v>52.55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50">
        <v>0</v>
      </c>
      <c r="P10" s="10">
        <f t="shared" si="0"/>
        <v>52.55</v>
      </c>
      <c r="Q10" s="10">
        <v>52.55</v>
      </c>
    </row>
    <row r="11" spans="1:19">
      <c r="A11" s="9" t="s">
        <v>138</v>
      </c>
      <c r="B11" t="s">
        <v>139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661.09999999999991</v>
      </c>
      <c r="J11" s="10">
        <v>238.01</v>
      </c>
      <c r="K11" s="10">
        <v>0</v>
      </c>
      <c r="L11" s="10">
        <v>0</v>
      </c>
      <c r="M11" s="10">
        <v>0</v>
      </c>
      <c r="N11" s="10">
        <v>0</v>
      </c>
      <c r="O11" s="50">
        <v>0</v>
      </c>
      <c r="P11" s="10">
        <f t="shared" si="0"/>
        <v>899.1099999999999</v>
      </c>
      <c r="Q11" s="10">
        <v>899.1099999999999</v>
      </c>
    </row>
    <row r="12" spans="1:19">
      <c r="A12" s="9" t="s">
        <v>103</v>
      </c>
      <c r="B12" t="s">
        <v>104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79.8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50">
        <v>0</v>
      </c>
      <c r="P12" s="10">
        <f t="shared" si="0"/>
        <v>79.8</v>
      </c>
      <c r="Q12" s="10">
        <v>79.8</v>
      </c>
    </row>
    <row r="13" spans="1:19">
      <c r="A13" s="9" t="s">
        <v>40</v>
      </c>
      <c r="B13" t="s">
        <v>41</v>
      </c>
      <c r="C13" s="10">
        <v>0</v>
      </c>
      <c r="D13" s="10">
        <v>0</v>
      </c>
      <c r="E13" s="10">
        <v>0</v>
      </c>
      <c r="F13" s="10">
        <v>0</v>
      </c>
      <c r="G13" s="10">
        <v>329.75</v>
      </c>
      <c r="H13" s="10">
        <v>840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50">
        <v>0</v>
      </c>
      <c r="P13" s="10">
        <f t="shared" si="0"/>
        <v>1169.75</v>
      </c>
      <c r="Q13" s="10">
        <v>1169.75</v>
      </c>
    </row>
    <row r="14" spans="1:19">
      <c r="A14" s="9" t="s">
        <v>42</v>
      </c>
      <c r="B14" t="s">
        <v>43</v>
      </c>
      <c r="C14" s="10">
        <v>0</v>
      </c>
      <c r="D14" s="10">
        <v>0</v>
      </c>
      <c r="E14" s="10">
        <v>0</v>
      </c>
      <c r="F14" s="10">
        <v>0</v>
      </c>
      <c r="G14" s="10">
        <v>750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50">
        <v>0</v>
      </c>
      <c r="P14" s="10">
        <f t="shared" si="0"/>
        <v>750</v>
      </c>
      <c r="Q14" s="10">
        <v>750</v>
      </c>
    </row>
    <row r="15" spans="1:19">
      <c r="A15" s="9" t="s">
        <v>44</v>
      </c>
      <c r="B15" t="s">
        <v>45</v>
      </c>
      <c r="C15" s="10">
        <v>0</v>
      </c>
      <c r="D15" s="10">
        <v>1975.2099999999998</v>
      </c>
      <c r="E15" s="10">
        <v>0</v>
      </c>
      <c r="F15" s="10">
        <v>0</v>
      </c>
      <c r="G15" s="10">
        <v>316.39999999999998</v>
      </c>
      <c r="H15" s="10">
        <v>0</v>
      </c>
      <c r="I15" s="10">
        <v>0</v>
      </c>
      <c r="J15" s="10">
        <v>15633.81</v>
      </c>
      <c r="K15" s="10">
        <v>9317.33</v>
      </c>
      <c r="L15" s="10">
        <v>0</v>
      </c>
      <c r="M15" s="10">
        <v>505.9</v>
      </c>
      <c r="N15" s="10">
        <v>0</v>
      </c>
      <c r="O15" s="50">
        <v>5482.65</v>
      </c>
      <c r="P15" s="55">
        <f t="shared" si="0"/>
        <v>33231.300000000003</v>
      </c>
      <c r="Q15" s="55">
        <f>33231.3-6800</f>
        <v>26431.300000000003</v>
      </c>
      <c r="S15" s="56" t="s">
        <v>156</v>
      </c>
    </row>
    <row r="16" spans="1:19">
      <c r="A16" s="9" t="s">
        <v>140</v>
      </c>
      <c r="B16" t="s">
        <v>141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2148.7599999999998</v>
      </c>
      <c r="K16" s="10">
        <v>0</v>
      </c>
      <c r="L16" s="10">
        <v>0</v>
      </c>
      <c r="M16" s="10">
        <v>0</v>
      </c>
      <c r="N16" s="10"/>
      <c r="O16" s="50">
        <v>0</v>
      </c>
      <c r="P16" s="10">
        <f t="shared" si="0"/>
        <v>2148.7599999999998</v>
      </c>
      <c r="Q16" s="10">
        <v>2148.7599999999998</v>
      </c>
    </row>
    <row r="17" spans="1:17">
      <c r="A17" s="9" t="s">
        <v>46</v>
      </c>
      <c r="B17" t="s">
        <v>47</v>
      </c>
      <c r="C17" s="10">
        <v>0</v>
      </c>
      <c r="D17" s="10">
        <v>49</v>
      </c>
      <c r="E17" s="10">
        <v>49</v>
      </c>
      <c r="F17" s="10">
        <v>49</v>
      </c>
      <c r="G17" s="10">
        <v>49</v>
      </c>
      <c r="H17" s="10">
        <v>49</v>
      </c>
      <c r="I17" s="10">
        <v>49</v>
      </c>
      <c r="J17" s="10">
        <v>49</v>
      </c>
      <c r="K17" s="10">
        <v>49</v>
      </c>
      <c r="L17" s="10">
        <v>49</v>
      </c>
      <c r="M17" s="10">
        <v>49</v>
      </c>
      <c r="N17" s="10">
        <v>49</v>
      </c>
      <c r="O17" s="50">
        <v>49</v>
      </c>
      <c r="P17" s="10">
        <f t="shared" si="0"/>
        <v>588</v>
      </c>
      <c r="Q17" s="10">
        <v>588</v>
      </c>
    </row>
    <row r="18" spans="1:17">
      <c r="A18" s="9" t="s">
        <v>105</v>
      </c>
      <c r="B18" t="s">
        <v>123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430</v>
      </c>
      <c r="L18" s="10">
        <v>0</v>
      </c>
      <c r="M18" s="10">
        <v>0</v>
      </c>
      <c r="N18" s="10">
        <v>0</v>
      </c>
      <c r="O18" s="50">
        <v>0</v>
      </c>
      <c r="P18" s="10">
        <f t="shared" si="0"/>
        <v>430</v>
      </c>
      <c r="Q18" s="10">
        <v>430</v>
      </c>
    </row>
    <row r="19" spans="1:17">
      <c r="A19" s="9" t="s">
        <v>48</v>
      </c>
      <c r="B19" t="s">
        <v>49</v>
      </c>
      <c r="C19" s="10">
        <v>0</v>
      </c>
      <c r="D19" s="10">
        <v>488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50">
        <v>0</v>
      </c>
      <c r="P19" s="10">
        <f t="shared" si="0"/>
        <v>488</v>
      </c>
      <c r="Q19" s="10">
        <v>488</v>
      </c>
    </row>
    <row r="20" spans="1:17">
      <c r="A20" s="30" t="s">
        <v>50</v>
      </c>
      <c r="B20" s="31" t="s">
        <v>51</v>
      </c>
      <c r="C20" s="29">
        <v>0</v>
      </c>
      <c r="D20" s="29">
        <v>0</v>
      </c>
      <c r="E20" s="29">
        <v>860</v>
      </c>
      <c r="F20" s="29">
        <v>0</v>
      </c>
      <c r="G20" s="29">
        <v>0</v>
      </c>
      <c r="H20" s="29">
        <v>1300</v>
      </c>
      <c r="I20" s="29">
        <v>0</v>
      </c>
      <c r="J20" s="29">
        <v>1320</v>
      </c>
      <c r="K20" s="29">
        <v>0</v>
      </c>
      <c r="L20" s="29">
        <v>0</v>
      </c>
      <c r="M20" s="29">
        <v>1318</v>
      </c>
      <c r="N20" s="29">
        <v>13002</v>
      </c>
      <c r="O20" s="51">
        <v>0</v>
      </c>
      <c r="P20" s="10">
        <f t="shared" si="0"/>
        <v>17800</v>
      </c>
      <c r="Q20" s="10">
        <v>17800</v>
      </c>
    </row>
    <row r="21" spans="1:17">
      <c r="A21" s="30" t="s">
        <v>52</v>
      </c>
      <c r="B21" s="31" t="s">
        <v>53</v>
      </c>
      <c r="C21" s="29">
        <v>0</v>
      </c>
      <c r="D21" s="29">
        <v>23498</v>
      </c>
      <c r="E21" s="29">
        <v>22166</v>
      </c>
      <c r="F21" s="29">
        <v>26781</v>
      </c>
      <c r="G21" s="29">
        <v>24679</v>
      </c>
      <c r="H21" s="29">
        <v>28359</v>
      </c>
      <c r="I21" s="29">
        <v>25672</v>
      </c>
      <c r="J21" s="29">
        <v>25518</v>
      </c>
      <c r="K21" s="29">
        <v>24290</v>
      </c>
      <c r="L21" s="29">
        <v>28855</v>
      </c>
      <c r="M21" s="29">
        <v>23292</v>
      </c>
      <c r="N21" s="29">
        <v>25009</v>
      </c>
      <c r="O21" s="51">
        <v>36033</v>
      </c>
      <c r="P21" s="10">
        <f t="shared" si="0"/>
        <v>314152</v>
      </c>
      <c r="Q21" s="10">
        <v>314152</v>
      </c>
    </row>
    <row r="22" spans="1:17">
      <c r="A22" s="30" t="s">
        <v>54</v>
      </c>
      <c r="B22" s="31" t="s">
        <v>55</v>
      </c>
      <c r="C22" s="29">
        <v>0</v>
      </c>
      <c r="D22" s="29">
        <v>0</v>
      </c>
      <c r="E22" s="29">
        <v>291</v>
      </c>
      <c r="F22" s="29">
        <v>0</v>
      </c>
      <c r="G22" s="29">
        <v>0</v>
      </c>
      <c r="H22" s="29">
        <v>439</v>
      </c>
      <c r="I22" s="29">
        <v>0</v>
      </c>
      <c r="J22" s="29">
        <v>446</v>
      </c>
      <c r="K22" s="29">
        <v>0</v>
      </c>
      <c r="L22" s="29">
        <v>0</v>
      </c>
      <c r="M22" s="29">
        <v>445</v>
      </c>
      <c r="N22" s="29">
        <v>4394</v>
      </c>
      <c r="O22" s="51">
        <v>0</v>
      </c>
      <c r="P22" s="10">
        <f t="shared" si="0"/>
        <v>6015</v>
      </c>
      <c r="Q22" s="10">
        <v>6015</v>
      </c>
    </row>
    <row r="23" spans="1:17">
      <c r="A23" s="30" t="s">
        <v>56</v>
      </c>
      <c r="B23" s="31" t="s">
        <v>57</v>
      </c>
      <c r="C23" s="29">
        <v>0</v>
      </c>
      <c r="D23" s="29">
        <v>7943.04</v>
      </c>
      <c r="E23" s="29">
        <v>7492.66</v>
      </c>
      <c r="F23" s="29">
        <v>9052.5999999999985</v>
      </c>
      <c r="G23" s="29">
        <v>8341.7199999999993</v>
      </c>
      <c r="H23" s="29">
        <v>8968.65</v>
      </c>
      <c r="I23" s="29">
        <v>8677.24</v>
      </c>
      <c r="J23" s="29">
        <v>8624.83</v>
      </c>
      <c r="K23" s="29">
        <v>8210.1899999999987</v>
      </c>
      <c r="L23" s="29">
        <v>9753.2599999999984</v>
      </c>
      <c r="M23" s="29">
        <v>7873.23</v>
      </c>
      <c r="N23" s="29">
        <v>8453.5399999999991</v>
      </c>
      <c r="O23" s="51">
        <v>0</v>
      </c>
      <c r="P23" s="10">
        <f t="shared" si="0"/>
        <v>93390.959999999977</v>
      </c>
      <c r="Q23" s="10">
        <v>93390.959999999977</v>
      </c>
    </row>
    <row r="24" spans="1:17">
      <c r="A24" s="30" t="s">
        <v>148</v>
      </c>
      <c r="B24" s="31" t="s">
        <v>149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51">
        <v>12179.33</v>
      </c>
      <c r="P24" s="10">
        <f t="shared" si="0"/>
        <v>12179.33</v>
      </c>
      <c r="Q24" s="10">
        <v>12179.33</v>
      </c>
    </row>
    <row r="25" spans="1:17">
      <c r="A25" s="32" t="s">
        <v>58</v>
      </c>
      <c r="B25" s="33" t="s">
        <v>59</v>
      </c>
      <c r="C25" s="34">
        <v>0</v>
      </c>
      <c r="D25" s="34">
        <f>1815-750</f>
        <v>1065</v>
      </c>
      <c r="E25" s="34">
        <v>750</v>
      </c>
      <c r="F25" s="34">
        <v>1035</v>
      </c>
      <c r="G25" s="34">
        <v>1100</v>
      </c>
      <c r="H25" s="34">
        <v>715</v>
      </c>
      <c r="I25" s="34">
        <v>1210</v>
      </c>
      <c r="J25" s="44">
        <v>660</v>
      </c>
      <c r="K25" s="33">
        <v>1210</v>
      </c>
      <c r="L25" s="33">
        <v>1237</v>
      </c>
      <c r="M25" s="33">
        <v>1045</v>
      </c>
      <c r="N25" s="33">
        <v>550</v>
      </c>
      <c r="O25" s="52">
        <v>0</v>
      </c>
      <c r="P25" s="10">
        <f t="shared" si="0"/>
        <v>10577</v>
      </c>
      <c r="Q25" s="10">
        <v>10577</v>
      </c>
    </row>
    <row r="26" spans="1:17">
      <c r="A26" s="32" t="s">
        <v>150</v>
      </c>
      <c r="B26" s="33" t="s">
        <v>151</v>
      </c>
      <c r="C26" s="34"/>
      <c r="D26" s="34"/>
      <c r="E26" s="34"/>
      <c r="F26" s="34"/>
      <c r="G26" s="34"/>
      <c r="H26" s="34"/>
      <c r="I26" s="34"/>
      <c r="J26" s="44"/>
      <c r="K26" s="33"/>
      <c r="L26" s="33"/>
      <c r="M26" s="33"/>
      <c r="N26" s="33"/>
      <c r="O26" s="52">
        <v>1210</v>
      </c>
      <c r="P26" s="10">
        <f t="shared" si="0"/>
        <v>1210</v>
      </c>
      <c r="Q26" s="10">
        <v>1210</v>
      </c>
    </row>
    <row r="27" spans="1:17">
      <c r="A27" s="39" t="s">
        <v>124</v>
      </c>
      <c r="B27" s="40" t="s">
        <v>142</v>
      </c>
      <c r="C27" s="16">
        <v>0</v>
      </c>
      <c r="D27" s="16">
        <v>412.84</v>
      </c>
      <c r="E27" s="16">
        <v>471.94</v>
      </c>
      <c r="F27" s="16">
        <v>469.84</v>
      </c>
      <c r="G27" s="16">
        <v>412.42999999999995</v>
      </c>
      <c r="H27" s="16">
        <v>461.29999999999995</v>
      </c>
      <c r="I27" s="16">
        <v>533.56999999999994</v>
      </c>
      <c r="J27" s="16">
        <v>458.65</v>
      </c>
      <c r="K27" s="16">
        <v>386.41999999999996</v>
      </c>
      <c r="L27" s="16">
        <v>452.55999999999995</v>
      </c>
      <c r="M27" s="16">
        <v>398.26</v>
      </c>
      <c r="N27" s="16">
        <v>360.72999999999996</v>
      </c>
      <c r="O27" s="53">
        <v>316.70999999999998</v>
      </c>
      <c r="P27" s="10">
        <f t="shared" si="0"/>
        <v>5135.2499999999991</v>
      </c>
      <c r="Q27" s="10">
        <v>5135.2499999999991</v>
      </c>
    </row>
    <row r="28" spans="1:17">
      <c r="A28" s="9" t="s">
        <v>152</v>
      </c>
      <c r="B28" t="s">
        <v>153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50">
        <v>-0.19999999999999998</v>
      </c>
      <c r="P28" s="10">
        <f t="shared" si="0"/>
        <v>-0.19999999999999998</v>
      </c>
      <c r="Q28" s="10">
        <v>-0.19999999999999998</v>
      </c>
    </row>
    <row r="29" spans="1:17">
      <c r="A29" s="35" t="s">
        <v>60</v>
      </c>
      <c r="B29" s="36" t="s">
        <v>61</v>
      </c>
      <c r="C29" s="37">
        <v>0</v>
      </c>
      <c r="D29" s="37">
        <v>1347</v>
      </c>
      <c r="E29" s="37">
        <v>0</v>
      </c>
      <c r="F29" s="37">
        <v>0</v>
      </c>
      <c r="G29" s="37">
        <v>1347</v>
      </c>
      <c r="H29" s="37">
        <v>0</v>
      </c>
      <c r="I29" s="37">
        <v>0</v>
      </c>
      <c r="J29" s="37">
        <v>1427</v>
      </c>
      <c r="K29" s="37">
        <v>0</v>
      </c>
      <c r="L29" s="37">
        <v>0</v>
      </c>
      <c r="M29" s="37">
        <v>1427</v>
      </c>
      <c r="N29" s="37">
        <v>0</v>
      </c>
      <c r="O29" s="54">
        <v>0</v>
      </c>
      <c r="P29" s="10">
        <f t="shared" si="0"/>
        <v>5548</v>
      </c>
      <c r="Q29" s="10">
        <v>5548</v>
      </c>
    </row>
    <row r="30" spans="1:17">
      <c r="A30" s="9" t="s">
        <v>62</v>
      </c>
      <c r="B30" t="s">
        <v>63</v>
      </c>
      <c r="C30" s="10">
        <v>0</v>
      </c>
      <c r="D30" s="10">
        <v>10870.4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4764</v>
      </c>
      <c r="L30" s="10">
        <v>0</v>
      </c>
      <c r="M30" s="10">
        <v>0</v>
      </c>
      <c r="N30" s="10">
        <v>0</v>
      </c>
      <c r="O30" s="50">
        <v>0</v>
      </c>
      <c r="P30" s="10">
        <f t="shared" si="0"/>
        <v>15634.4</v>
      </c>
      <c r="Q30" s="10">
        <v>15634.4</v>
      </c>
    </row>
    <row r="31" spans="1:17">
      <c r="A31" s="11" t="s">
        <v>64</v>
      </c>
      <c r="B31" s="12" t="s">
        <v>65</v>
      </c>
      <c r="C31" s="13">
        <v>0</v>
      </c>
      <c r="D31" s="13">
        <f t="shared" ref="D31:P31" si="1">SUM(D7:D30)</f>
        <v>48475.42</v>
      </c>
      <c r="E31" s="13">
        <f t="shared" si="1"/>
        <v>33118.339999999997</v>
      </c>
      <c r="F31" s="13">
        <f t="shared" si="1"/>
        <v>38271.439999999995</v>
      </c>
      <c r="G31" s="13">
        <f t="shared" si="1"/>
        <v>38102.68</v>
      </c>
      <c r="H31" s="13">
        <f t="shared" si="1"/>
        <v>42210.94</v>
      </c>
      <c r="I31" s="13">
        <f t="shared" si="1"/>
        <v>37877.199999999997</v>
      </c>
      <c r="J31" s="13">
        <f t="shared" si="1"/>
        <v>59588.79</v>
      </c>
      <c r="K31" s="13">
        <f t="shared" si="1"/>
        <v>49725.279999999999</v>
      </c>
      <c r="L31" s="13">
        <f t="shared" si="1"/>
        <v>41620.799999999996</v>
      </c>
      <c r="M31" s="13">
        <f t="shared" si="1"/>
        <v>37493.97</v>
      </c>
      <c r="N31" s="13">
        <f t="shared" si="1"/>
        <v>53023.33</v>
      </c>
      <c r="O31" s="13">
        <f t="shared" si="1"/>
        <v>60972.030000000006</v>
      </c>
      <c r="P31" s="38">
        <f t="shared" si="1"/>
        <v>540480.22</v>
      </c>
      <c r="Q31" s="38">
        <f>SUM(Q7:Q30)</f>
        <v>533680.22</v>
      </c>
    </row>
    <row r="32" spans="1:17">
      <c r="A32" s="9"/>
    </row>
    <row r="33" spans="1:19">
      <c r="A33" s="9" t="s">
        <v>66</v>
      </c>
      <c r="B33" t="s">
        <v>67</v>
      </c>
      <c r="C33" s="10">
        <v>0</v>
      </c>
      <c r="D33" s="10">
        <v>3607.97</v>
      </c>
      <c r="E33" s="10">
        <v>4750.3999999999996</v>
      </c>
      <c r="F33" s="10">
        <v>5851.2</v>
      </c>
      <c r="G33" s="10">
        <v>4511.95</v>
      </c>
      <c r="H33" s="10">
        <v>5844.8799999999992</v>
      </c>
      <c r="I33" s="10">
        <v>6190.07</v>
      </c>
      <c r="J33" s="10">
        <v>4164.9599999999991</v>
      </c>
      <c r="K33" s="10">
        <v>3842.6299999999997</v>
      </c>
      <c r="L33" s="10">
        <v>5222.62</v>
      </c>
      <c r="M33" s="10">
        <v>4991.24</v>
      </c>
      <c r="N33" s="10">
        <v>5123.51</v>
      </c>
      <c r="O33" s="50">
        <v>3437.6699999999996</v>
      </c>
      <c r="P33" s="10">
        <f>SUM(C33:O33)</f>
        <v>57539.1</v>
      </c>
      <c r="Q33" s="10">
        <v>57539.1</v>
      </c>
    </row>
    <row r="34" spans="1:19">
      <c r="A34" s="9" t="s">
        <v>68</v>
      </c>
      <c r="B34" t="s">
        <v>69</v>
      </c>
      <c r="C34" s="10">
        <v>0</v>
      </c>
      <c r="D34" s="10">
        <v>18100.82</v>
      </c>
      <c r="E34" s="10">
        <v>22853.519999999997</v>
      </c>
      <c r="F34" s="10">
        <v>28746.149999999998</v>
      </c>
      <c r="G34" s="10">
        <v>23636.019999999997</v>
      </c>
      <c r="H34" s="10">
        <v>26142.55</v>
      </c>
      <c r="I34" s="10">
        <v>30246.469999999998</v>
      </c>
      <c r="J34" s="10">
        <v>24804.67</v>
      </c>
      <c r="K34" s="10">
        <v>20709.66</v>
      </c>
      <c r="L34" s="10">
        <v>37267.199999999997</v>
      </c>
      <c r="M34" s="10">
        <v>31080</v>
      </c>
      <c r="N34" s="10">
        <v>33901</v>
      </c>
      <c r="O34" s="50">
        <v>24913.199999999997</v>
      </c>
      <c r="P34" s="10">
        <f>SUM(C34:O34)</f>
        <v>322401.25999999995</v>
      </c>
      <c r="Q34" s="10">
        <v>322401.25999999995</v>
      </c>
    </row>
    <row r="35" spans="1:19">
      <c r="A35" s="9" t="s">
        <v>137</v>
      </c>
      <c r="B35" t="s">
        <v>143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6800</v>
      </c>
      <c r="L35" s="10">
        <v>0</v>
      </c>
      <c r="M35" s="10">
        <v>0</v>
      </c>
      <c r="N35" s="10">
        <v>0</v>
      </c>
      <c r="P35" s="55">
        <f>SUM(C35:O35)</f>
        <v>6800</v>
      </c>
      <c r="Q35" s="55">
        <f>6800-6800</f>
        <v>0</v>
      </c>
      <c r="S35" s="56" t="s">
        <v>157</v>
      </c>
    </row>
    <row r="36" spans="1:19">
      <c r="A36" s="11" t="s">
        <v>70</v>
      </c>
      <c r="B36" s="12" t="s">
        <v>71</v>
      </c>
      <c r="C36" s="13">
        <v>0</v>
      </c>
      <c r="D36" s="13">
        <f>SUM(D33:D35)</f>
        <v>21708.79</v>
      </c>
      <c r="E36" s="13">
        <f t="shared" ref="E36:L36" si="2">SUM(E33:E35)</f>
        <v>27603.919999999998</v>
      </c>
      <c r="F36" s="13">
        <f t="shared" si="2"/>
        <v>34597.35</v>
      </c>
      <c r="G36" s="13">
        <f t="shared" si="2"/>
        <v>28147.969999999998</v>
      </c>
      <c r="H36" s="13">
        <f t="shared" si="2"/>
        <v>31987.43</v>
      </c>
      <c r="I36" s="13">
        <f t="shared" si="2"/>
        <v>36436.539999999994</v>
      </c>
      <c r="J36" s="13">
        <f t="shared" si="2"/>
        <v>28969.629999999997</v>
      </c>
      <c r="K36" s="13">
        <f t="shared" si="2"/>
        <v>31352.29</v>
      </c>
      <c r="L36" s="13">
        <f t="shared" si="2"/>
        <v>42489.82</v>
      </c>
      <c r="M36" s="13">
        <f>SUM(M33:M35)</f>
        <v>36071.24</v>
      </c>
      <c r="N36" s="13">
        <f>SUM(N33:N35)</f>
        <v>39024.51</v>
      </c>
      <c r="O36" s="13">
        <f>SUM(O33:O34)</f>
        <v>28350.869999999995</v>
      </c>
      <c r="P36" s="38">
        <f>SUM(P33:P35)</f>
        <v>386740.35999999993</v>
      </c>
      <c r="Q36" s="38">
        <f>SUM(Q33:Q35)</f>
        <v>379940.35999999993</v>
      </c>
    </row>
    <row r="37" spans="1:19">
      <c r="A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9">
      <c r="A38" s="11" t="s">
        <v>73</v>
      </c>
      <c r="B38" s="12"/>
      <c r="C38" s="13">
        <v>0</v>
      </c>
      <c r="D38" s="13">
        <f t="shared" ref="D38:P38" si="3">D36-D31</f>
        <v>-26766.629999999997</v>
      </c>
      <c r="E38" s="13">
        <f t="shared" si="3"/>
        <v>-5514.4199999999983</v>
      </c>
      <c r="F38" s="13">
        <f t="shared" si="3"/>
        <v>-3674.0899999999965</v>
      </c>
      <c r="G38" s="13">
        <f t="shared" si="3"/>
        <v>-9954.7100000000028</v>
      </c>
      <c r="H38" s="13">
        <f t="shared" si="3"/>
        <v>-10223.510000000002</v>
      </c>
      <c r="I38" s="13">
        <f t="shared" si="3"/>
        <v>-1440.6600000000035</v>
      </c>
      <c r="J38" s="13">
        <f t="shared" si="3"/>
        <v>-30619.160000000003</v>
      </c>
      <c r="K38" s="13">
        <f t="shared" si="3"/>
        <v>-18372.989999999998</v>
      </c>
      <c r="L38" s="13">
        <f t="shared" si="3"/>
        <v>869.02000000000407</v>
      </c>
      <c r="M38" s="13">
        <f t="shared" si="3"/>
        <v>-1422.7300000000032</v>
      </c>
      <c r="N38" s="13">
        <f t="shared" si="3"/>
        <v>-13998.82</v>
      </c>
      <c r="O38" s="13">
        <f t="shared" si="3"/>
        <v>-32621.160000000011</v>
      </c>
      <c r="P38" s="13">
        <f t="shared" si="3"/>
        <v>-153739.86000000004</v>
      </c>
      <c r="Q38" s="13">
        <v>-153739.86000000004</v>
      </c>
    </row>
    <row r="39" spans="1:19">
      <c r="A39" s="11"/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7">
        <f>P38+(P38*$C$45)</f>
        <v>-153739.86000000004</v>
      </c>
      <c r="Q39" s="17">
        <v>-153739.86000000004</v>
      </c>
    </row>
    <row r="40" spans="1:19">
      <c r="A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2" spans="1:19">
      <c r="B42" s="20" t="s">
        <v>74</v>
      </c>
      <c r="C42" s="20"/>
      <c r="D42" s="23">
        <v>1279.21</v>
      </c>
      <c r="E42" s="23">
        <v>1615.09</v>
      </c>
      <c r="F42" s="23">
        <v>2031.53</v>
      </c>
      <c r="G42" s="23">
        <v>1670.39</v>
      </c>
      <c r="H42" s="23">
        <v>1847.53</v>
      </c>
      <c r="I42" s="23">
        <v>2137.56</v>
      </c>
      <c r="J42" s="23">
        <v>1752.98</v>
      </c>
      <c r="K42" s="23">
        <v>1463.58</v>
      </c>
      <c r="L42" s="23">
        <v>1863.36</v>
      </c>
      <c r="M42" s="23">
        <v>1554</v>
      </c>
      <c r="N42" s="23">
        <v>1695.05</v>
      </c>
      <c r="O42" s="23">
        <v>1245.6600000000001</v>
      </c>
      <c r="P42" s="24">
        <f>SUM(D42:O42)</f>
        <v>20155.939999999999</v>
      </c>
      <c r="Q42" s="24">
        <v>20155.939999999999</v>
      </c>
      <c r="R42" s="57">
        <f>Q42/12</f>
        <v>1679.6616666666666</v>
      </c>
      <c r="S42" s="57" t="s">
        <v>158</v>
      </c>
    </row>
    <row r="43" spans="1:19">
      <c r="B43" t="s">
        <v>75</v>
      </c>
      <c r="D43" s="1">
        <v>14.15</v>
      </c>
      <c r="E43" s="1">
        <v>14.15</v>
      </c>
      <c r="F43" s="1">
        <v>14.15</v>
      </c>
      <c r="G43" s="1">
        <v>14.15</v>
      </c>
      <c r="H43" s="1">
        <v>14.15</v>
      </c>
      <c r="I43" s="1">
        <v>14.15</v>
      </c>
      <c r="J43" s="1">
        <v>14.15</v>
      </c>
      <c r="K43" s="1">
        <v>14.15</v>
      </c>
      <c r="L43" s="1">
        <v>20</v>
      </c>
      <c r="M43" s="1">
        <v>20</v>
      </c>
      <c r="N43" s="1">
        <v>20</v>
      </c>
      <c r="O43" s="1">
        <v>20</v>
      </c>
      <c r="P43" s="1">
        <v>20</v>
      </c>
      <c r="Q43" s="1">
        <v>20</v>
      </c>
    </row>
    <row r="44" spans="1:19">
      <c r="B44" t="s">
        <v>76</v>
      </c>
      <c r="D44" s="1">
        <f t="shared" ref="D44:J44" si="4">(D31-D33)/D42</f>
        <v>35.07434275842121</v>
      </c>
      <c r="E44" s="1">
        <f t="shared" si="4"/>
        <v>17.564309109709054</v>
      </c>
      <c r="F44" s="1">
        <f t="shared" si="4"/>
        <v>15.958533715967766</v>
      </c>
      <c r="G44" s="1">
        <f t="shared" si="4"/>
        <v>20.109513347182396</v>
      </c>
      <c r="H44" s="1">
        <f t="shared" si="4"/>
        <v>19.6836100090391</v>
      </c>
      <c r="I44" s="1">
        <f t="shared" si="4"/>
        <v>14.823972192593423</v>
      </c>
      <c r="J44" s="1">
        <f t="shared" si="4"/>
        <v>31.616920900409589</v>
      </c>
      <c r="K44" s="1">
        <f>(K31-K33-K35)/K42</f>
        <v>26.703460009018983</v>
      </c>
      <c r="L44" s="1">
        <f>(L31-L33)/L42</f>
        <v>19.53362742572557</v>
      </c>
      <c r="M44" s="1">
        <f>(M31-M33-M35)/M42</f>
        <v>20.915527670527673</v>
      </c>
      <c r="N44" s="1">
        <f>(N31-N33-N35)/N42</f>
        <v>28.258647237544615</v>
      </c>
      <c r="O44" s="1">
        <f>(O31-O33-O35)/O42</f>
        <v>46.187852222917975</v>
      </c>
      <c r="P44" s="1">
        <f>(P31-P33)/P42</f>
        <v>23.960238024125893</v>
      </c>
      <c r="Q44" s="1">
        <f>(Q31-Q33)/Q42</f>
        <v>23.622868494349557</v>
      </c>
    </row>
    <row r="45" spans="1:19">
      <c r="B45" s="41" t="s">
        <v>77</v>
      </c>
      <c r="C45" s="43">
        <v>0</v>
      </c>
      <c r="D45" s="23">
        <f t="shared" ref="D45:I45" si="5">(D44*$C$45)+D44</f>
        <v>35.07434275842121</v>
      </c>
      <c r="E45" s="23">
        <f t="shared" si="5"/>
        <v>17.564309109709054</v>
      </c>
      <c r="F45" s="23">
        <f t="shared" si="5"/>
        <v>15.958533715967766</v>
      </c>
      <c r="G45" s="23">
        <f t="shared" si="5"/>
        <v>20.109513347182396</v>
      </c>
      <c r="H45" s="23">
        <f t="shared" si="5"/>
        <v>19.6836100090391</v>
      </c>
      <c r="I45" s="23">
        <f t="shared" si="5"/>
        <v>14.823972192593423</v>
      </c>
      <c r="J45" s="23">
        <f t="shared" ref="J45" si="6">(J44*$C$45)+J44</f>
        <v>31.616920900409589</v>
      </c>
      <c r="K45" s="23">
        <f t="shared" ref="K45" si="7">(K44*$C$45)+K44</f>
        <v>26.703460009018983</v>
      </c>
      <c r="L45" s="23">
        <f t="shared" ref="L45:M45" si="8">(L44*$C$45)+L44</f>
        <v>19.53362742572557</v>
      </c>
      <c r="M45" s="23">
        <f t="shared" si="8"/>
        <v>20.915527670527673</v>
      </c>
      <c r="N45" s="23">
        <f>(N44*$C$45)+N44</f>
        <v>28.258647237544615</v>
      </c>
      <c r="O45" s="23">
        <f>(O44*$C$45)+O44</f>
        <v>46.187852222917975</v>
      </c>
      <c r="P45" s="42">
        <f>(P44*$C$45)+P44</f>
        <v>23.960238024125893</v>
      </c>
      <c r="Q45" s="42">
        <f>(Q44*$C$45)+Q44</f>
        <v>23.622868494349557</v>
      </c>
    </row>
    <row r="48" spans="1:19">
      <c r="J48" s="45"/>
      <c r="K48" s="45"/>
      <c r="L48" s="45"/>
      <c r="M48" s="45"/>
      <c r="N48" s="45" t="s">
        <v>128</v>
      </c>
      <c r="O48" s="45"/>
      <c r="P48" s="46">
        <f>P42*P45</f>
        <v>482941.12</v>
      </c>
      <c r="Q48" s="46">
        <v>482941.12</v>
      </c>
    </row>
    <row r="49" spans="10:17">
      <c r="J49" s="45"/>
      <c r="K49" s="45"/>
      <c r="L49" s="45"/>
      <c r="M49" s="45"/>
      <c r="N49" s="45" t="s">
        <v>129</v>
      </c>
      <c r="O49" s="45"/>
      <c r="P49" s="46">
        <f>P33</f>
        <v>57539.1</v>
      </c>
      <c r="Q49" s="46">
        <v>57539.1</v>
      </c>
    </row>
    <row r="50" spans="10:17">
      <c r="J50" s="47"/>
      <c r="K50" s="47"/>
      <c r="L50" s="47"/>
      <c r="M50" s="47"/>
      <c r="N50" s="47" t="s">
        <v>130</v>
      </c>
      <c r="O50" s="47"/>
      <c r="P50" s="48">
        <f>SUM(P48:P49)</f>
        <v>540480.22</v>
      </c>
      <c r="Q50" s="48">
        <v>540480.22</v>
      </c>
    </row>
    <row r="51" spans="10:17" ht="13.9" customHeight="1">
      <c r="J51" s="47"/>
      <c r="K51" s="47"/>
      <c r="L51" s="47"/>
      <c r="M51" s="47"/>
      <c r="N51" s="47" t="s">
        <v>131</v>
      </c>
      <c r="O51" s="47"/>
      <c r="P51" s="48">
        <f>P31</f>
        <v>540480.22</v>
      </c>
      <c r="Q51" s="48">
        <v>540480.22</v>
      </c>
    </row>
    <row r="52" spans="10:17">
      <c r="J52" s="45"/>
      <c r="K52" s="45"/>
      <c r="L52" s="45"/>
      <c r="M52" s="45"/>
      <c r="N52" s="45" t="s">
        <v>132</v>
      </c>
      <c r="O52" s="45"/>
      <c r="P52" s="49">
        <f>P50-P51</f>
        <v>0</v>
      </c>
      <c r="Q52" s="49">
        <v>0</v>
      </c>
    </row>
  </sheetData>
  <phoneticPr fontId="7" type="noConversion"/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R37"/>
  <sheetViews>
    <sheetView tabSelected="1" topLeftCell="B1" zoomScale="80" zoomScaleNormal="80" workbookViewId="0">
      <selection activeCell="M37" sqref="M37"/>
    </sheetView>
  </sheetViews>
  <sheetFormatPr defaultColWidth="8.7109375" defaultRowHeight="14.25"/>
  <cols>
    <col min="1" max="1" width="8.7109375" style="61"/>
    <col min="2" max="2" width="12.140625" style="61" customWidth="1"/>
    <col min="3" max="3" width="64.5703125" style="61" customWidth="1"/>
    <col min="4" max="4" width="12.7109375" style="61" customWidth="1"/>
    <col min="5" max="5" width="11.42578125" style="61" customWidth="1"/>
    <col min="6" max="6" width="11.140625" style="61" customWidth="1"/>
    <col min="7" max="7" width="11.42578125" style="61" customWidth="1"/>
    <col min="8" max="8" width="11.7109375" style="61" customWidth="1"/>
    <col min="9" max="9" width="11.42578125" style="61" customWidth="1"/>
    <col min="10" max="10" width="12" style="61" customWidth="1"/>
    <col min="11" max="11" width="10.7109375" style="61" customWidth="1"/>
    <col min="12" max="12" width="11" style="61" customWidth="1"/>
    <col min="13" max="13" width="12" style="61" customWidth="1"/>
    <col min="14" max="14" width="11.7109375" style="61" customWidth="1"/>
    <col min="15" max="15" width="12.5703125" style="61" customWidth="1"/>
    <col min="16" max="16" width="12.7109375" style="61" bestFit="1" customWidth="1"/>
    <col min="17" max="16384" width="8.7109375" style="61"/>
  </cols>
  <sheetData>
    <row r="1" spans="2:16" ht="26.25">
      <c r="B1" s="144" t="s">
        <v>201</v>
      </c>
      <c r="C1" s="144"/>
    </row>
    <row r="3" spans="2:16" ht="15" thickBot="1"/>
    <row r="4" spans="2:16" ht="15" thickBot="1">
      <c r="B4" s="145" t="s">
        <v>3</v>
      </c>
      <c r="C4" s="146" t="s">
        <v>32</v>
      </c>
      <c r="D4" s="147" t="s">
        <v>171</v>
      </c>
      <c r="E4" s="148" t="s">
        <v>172</v>
      </c>
      <c r="F4" s="226" t="s">
        <v>173</v>
      </c>
      <c r="G4" s="147" t="s">
        <v>174</v>
      </c>
      <c r="H4" s="147" t="s">
        <v>175</v>
      </c>
      <c r="I4" s="147" t="s">
        <v>176</v>
      </c>
      <c r="J4" s="147" t="s">
        <v>177</v>
      </c>
      <c r="K4" s="147" t="s">
        <v>178</v>
      </c>
      <c r="L4" s="147" t="s">
        <v>179</v>
      </c>
      <c r="M4" s="147" t="s">
        <v>180</v>
      </c>
      <c r="N4" s="147" t="s">
        <v>181</v>
      </c>
      <c r="O4" s="147" t="s">
        <v>182</v>
      </c>
      <c r="P4" s="147" t="s">
        <v>169</v>
      </c>
    </row>
    <row r="5" spans="2:16">
      <c r="B5" s="149" t="s">
        <v>34</v>
      </c>
      <c r="C5" s="150" t="s">
        <v>283</v>
      </c>
      <c r="D5" s="151"/>
      <c r="E5" s="211"/>
      <c r="F5" s="220">
        <v>232.32</v>
      </c>
      <c r="G5" s="151">
        <v>195.04</v>
      </c>
      <c r="H5" s="151"/>
      <c r="I5" s="151">
        <v>275.20999999999998</v>
      </c>
      <c r="J5" s="151">
        <v>0</v>
      </c>
      <c r="K5" s="151">
        <v>700</v>
      </c>
      <c r="L5" s="151">
        <v>213.98</v>
      </c>
      <c r="M5" s="151"/>
      <c r="N5" s="151">
        <v>192.48999999999998</v>
      </c>
      <c r="O5" s="151"/>
      <c r="P5" s="151">
        <f>SUM(D5:O5)</f>
        <v>1809.04</v>
      </c>
    </row>
    <row r="6" spans="2:16">
      <c r="B6" s="216" t="s">
        <v>36</v>
      </c>
      <c r="C6" s="217" t="s">
        <v>37</v>
      </c>
      <c r="D6" s="218">
        <v>2665.3599999999997</v>
      </c>
      <c r="E6" s="219">
        <v>1960.2199999999998</v>
      </c>
      <c r="F6" s="221">
        <v>2588.7799999999997</v>
      </c>
      <c r="G6" s="218">
        <v>3087.58</v>
      </c>
      <c r="H6" s="218">
        <v>3947.06</v>
      </c>
      <c r="I6" s="218">
        <v>4228.3999999999996</v>
      </c>
      <c r="J6" s="218">
        <v>2469.9899999999998</v>
      </c>
      <c r="K6" s="218">
        <v>5302.86</v>
      </c>
      <c r="L6" s="218">
        <v>5043.41</v>
      </c>
      <c r="M6" s="218">
        <v>2865.12</v>
      </c>
      <c r="N6" s="218">
        <v>3373.6899999999996</v>
      </c>
      <c r="O6" s="218">
        <v>2180.31</v>
      </c>
      <c r="P6" s="154">
        <f t="shared" ref="P6:P15" si="0">SUM(D6:O6)</f>
        <v>39712.78</v>
      </c>
    </row>
    <row r="7" spans="2:16">
      <c r="B7" s="216" t="s">
        <v>44</v>
      </c>
      <c r="C7" s="217" t="s">
        <v>45</v>
      </c>
      <c r="D7" s="218"/>
      <c r="E7" s="219"/>
      <c r="F7" s="221"/>
      <c r="G7" s="218">
        <v>452</v>
      </c>
      <c r="H7" s="218"/>
      <c r="I7" s="218">
        <v>2600.75</v>
      </c>
      <c r="J7" s="218">
        <v>0</v>
      </c>
      <c r="K7" s="218">
        <v>0</v>
      </c>
      <c r="L7" s="218"/>
      <c r="M7" s="218">
        <v>560</v>
      </c>
      <c r="N7" s="218"/>
      <c r="O7" s="218">
        <v>14762.759999999998</v>
      </c>
      <c r="P7" s="154">
        <f t="shared" si="0"/>
        <v>18375.509999999998</v>
      </c>
    </row>
    <row r="8" spans="2:16">
      <c r="B8" s="216" t="s">
        <v>48</v>
      </c>
      <c r="C8" s="217" t="s">
        <v>49</v>
      </c>
      <c r="D8" s="218"/>
      <c r="E8" s="219"/>
      <c r="F8" s="221"/>
      <c r="G8" s="218"/>
      <c r="H8" s="218">
        <v>1161.19</v>
      </c>
      <c r="I8" s="218"/>
      <c r="J8" s="218">
        <v>0</v>
      </c>
      <c r="K8" s="218">
        <v>260</v>
      </c>
      <c r="L8" s="218"/>
      <c r="M8" s="218"/>
      <c r="N8" s="218"/>
      <c r="O8" s="218"/>
      <c r="P8" s="154">
        <f t="shared" si="0"/>
        <v>1421.19</v>
      </c>
    </row>
    <row r="9" spans="2:16">
      <c r="B9" s="152" t="s">
        <v>159</v>
      </c>
      <c r="C9" s="153" t="s">
        <v>167</v>
      </c>
      <c r="D9" s="154">
        <v>28052</v>
      </c>
      <c r="E9" s="212">
        <v>24126</v>
      </c>
      <c r="F9" s="222">
        <v>27296</v>
      </c>
      <c r="G9" s="154">
        <v>24922</v>
      </c>
      <c r="H9" s="154">
        <v>27035</v>
      </c>
      <c r="I9" s="154">
        <v>30631</v>
      </c>
      <c r="J9" s="154">
        <v>39298</v>
      </c>
      <c r="K9" s="154">
        <v>27296</v>
      </c>
      <c r="L9" s="154">
        <v>27493</v>
      </c>
      <c r="M9" s="154">
        <v>25372</v>
      </c>
      <c r="N9" s="154">
        <v>47063</v>
      </c>
      <c r="O9" s="154">
        <v>24032</v>
      </c>
      <c r="P9" s="154">
        <f t="shared" si="0"/>
        <v>352616</v>
      </c>
    </row>
    <row r="10" spans="2:16">
      <c r="B10" s="152" t="s">
        <v>160</v>
      </c>
      <c r="C10" s="153" t="s">
        <v>161</v>
      </c>
      <c r="D10" s="154">
        <v>8831.25</v>
      </c>
      <c r="E10" s="212">
        <v>8154.0099999999993</v>
      </c>
      <c r="F10" s="222">
        <v>9225.4</v>
      </c>
      <c r="G10" s="154">
        <v>8423.65</v>
      </c>
      <c r="H10" s="154">
        <v>9137.6799999999985</v>
      </c>
      <c r="I10" s="154">
        <v>10353.48</v>
      </c>
      <c r="J10" s="154">
        <v>13283.38</v>
      </c>
      <c r="K10" s="154">
        <v>9225.4</v>
      </c>
      <c r="L10" s="154">
        <v>9292.2599999999984</v>
      </c>
      <c r="M10" s="154">
        <v>8576.25</v>
      </c>
      <c r="N10" s="154">
        <v>15907.25</v>
      </c>
      <c r="O10" s="154">
        <v>7016.7199999999993</v>
      </c>
      <c r="P10" s="154">
        <f t="shared" si="0"/>
        <v>117426.73</v>
      </c>
    </row>
    <row r="11" spans="2:16">
      <c r="B11" s="152" t="s">
        <v>162</v>
      </c>
      <c r="C11" s="153" t="s">
        <v>168</v>
      </c>
      <c r="D11" s="154">
        <v>935</v>
      </c>
      <c r="E11" s="212">
        <v>880</v>
      </c>
      <c r="F11" s="222">
        <v>1265</v>
      </c>
      <c r="G11" s="154">
        <v>1050</v>
      </c>
      <c r="H11" s="154">
        <f>1210-5</f>
        <v>1205</v>
      </c>
      <c r="I11" s="154">
        <v>1210</v>
      </c>
      <c r="J11" s="154">
        <v>594</v>
      </c>
      <c r="K11" s="154">
        <v>1518</v>
      </c>
      <c r="L11" s="154">
        <v>1518</v>
      </c>
      <c r="M11" s="154">
        <v>1188</v>
      </c>
      <c r="N11" s="154">
        <v>1056</v>
      </c>
      <c r="O11" s="154">
        <v>924</v>
      </c>
      <c r="P11" s="154">
        <f t="shared" si="0"/>
        <v>13343</v>
      </c>
    </row>
    <row r="12" spans="2:16">
      <c r="B12" s="152" t="s">
        <v>124</v>
      </c>
      <c r="C12" s="153" t="s">
        <v>142</v>
      </c>
      <c r="D12" s="154">
        <v>405.09</v>
      </c>
      <c r="E12" s="212">
        <v>274.86999999999995</v>
      </c>
      <c r="F12" s="222">
        <v>408.42999999999995</v>
      </c>
      <c r="G12" s="154">
        <v>396.01</v>
      </c>
      <c r="H12" s="154">
        <v>537.83999999999992</v>
      </c>
      <c r="I12" s="154">
        <v>530.25</v>
      </c>
      <c r="J12" s="154">
        <v>417.83</v>
      </c>
      <c r="K12" s="154">
        <v>419.2</v>
      </c>
      <c r="L12" s="154">
        <v>454.04999999999995</v>
      </c>
      <c r="M12" s="154">
        <v>411.90999999999997</v>
      </c>
      <c r="N12" s="154">
        <v>441.60999999999996</v>
      </c>
      <c r="O12" s="154">
        <v>252.08999999999997</v>
      </c>
      <c r="P12" s="154">
        <f t="shared" si="0"/>
        <v>4949.1799999999994</v>
      </c>
    </row>
    <row r="13" spans="2:16">
      <c r="B13" s="152" t="s">
        <v>235</v>
      </c>
      <c r="C13" s="153" t="s">
        <v>236</v>
      </c>
      <c r="D13" s="154"/>
      <c r="E13" s="212"/>
      <c r="F13" s="222">
        <v>577</v>
      </c>
      <c r="G13" s="154"/>
      <c r="H13" s="154"/>
      <c r="I13" s="154">
        <v>694</v>
      </c>
      <c r="J13" s="154">
        <v>0</v>
      </c>
      <c r="K13" s="154">
        <v>0</v>
      </c>
      <c r="L13" s="154">
        <v>677</v>
      </c>
      <c r="M13" s="154"/>
      <c r="N13" s="154"/>
      <c r="O13" s="154">
        <v>726</v>
      </c>
      <c r="P13" s="154">
        <f>SUM(D13:O13)</f>
        <v>2674</v>
      </c>
    </row>
    <row r="14" spans="2:16">
      <c r="B14" s="152" t="s">
        <v>60</v>
      </c>
      <c r="C14" s="153" t="s">
        <v>61</v>
      </c>
      <c r="D14" s="154">
        <v>1427</v>
      </c>
      <c r="E14" s="212">
        <v>0</v>
      </c>
      <c r="F14" s="222">
        <v>1427</v>
      </c>
      <c r="G14" s="154"/>
      <c r="H14" s="154"/>
      <c r="I14" s="154"/>
      <c r="J14" s="154">
        <v>1427</v>
      </c>
      <c r="K14" s="154"/>
      <c r="L14" s="154"/>
      <c r="M14" s="154">
        <v>1427</v>
      </c>
      <c r="N14" s="154"/>
      <c r="O14" s="154"/>
      <c r="P14" s="154">
        <f t="shared" si="0"/>
        <v>5708</v>
      </c>
    </row>
    <row r="15" spans="2:16" ht="15" thickBot="1">
      <c r="B15" s="155" t="s">
        <v>62</v>
      </c>
      <c r="C15" s="156" t="s">
        <v>63</v>
      </c>
      <c r="D15" s="157">
        <v>9529</v>
      </c>
      <c r="E15" s="213">
        <v>0</v>
      </c>
      <c r="F15" s="223">
        <v>0</v>
      </c>
      <c r="G15" s="157">
        <v>0</v>
      </c>
      <c r="H15" s="157"/>
      <c r="I15" s="157"/>
      <c r="J15" s="157">
        <v>0</v>
      </c>
      <c r="K15" s="157">
        <v>5442</v>
      </c>
      <c r="L15" s="157"/>
      <c r="M15" s="157"/>
      <c r="N15" s="157"/>
      <c r="O15" s="157"/>
      <c r="P15" s="154">
        <f t="shared" si="0"/>
        <v>14971</v>
      </c>
    </row>
    <row r="16" spans="2:16" ht="15" thickBot="1">
      <c r="B16" s="158" t="s">
        <v>64</v>
      </c>
      <c r="C16" s="159" t="s">
        <v>65</v>
      </c>
      <c r="D16" s="160">
        <f>SUM(D5:D15)</f>
        <v>51844.7</v>
      </c>
      <c r="E16" s="160">
        <f t="shared" ref="E16:F16" si="1">SUM(E5:E15)</f>
        <v>35395.100000000006</v>
      </c>
      <c r="F16" s="227">
        <f t="shared" si="1"/>
        <v>43019.93</v>
      </c>
      <c r="G16" s="160">
        <f t="shared" ref="G16:L16" si="2">SUM(G5:G15)</f>
        <v>38526.28</v>
      </c>
      <c r="H16" s="160">
        <f t="shared" si="2"/>
        <v>43023.77</v>
      </c>
      <c r="I16" s="160">
        <f t="shared" si="2"/>
        <v>50523.09</v>
      </c>
      <c r="J16" s="160">
        <f t="shared" si="2"/>
        <v>57490.2</v>
      </c>
      <c r="K16" s="160">
        <f t="shared" si="2"/>
        <v>50163.46</v>
      </c>
      <c r="L16" s="160">
        <f t="shared" si="2"/>
        <v>44691.7</v>
      </c>
      <c r="M16" s="160">
        <f t="shared" ref="M16" si="3">SUM(M5:M15)</f>
        <v>40400.28</v>
      </c>
      <c r="N16" s="160">
        <f>SUM(N5:N15)</f>
        <v>68034.039999999994</v>
      </c>
      <c r="O16" s="160">
        <f>SUM(O5:O15)</f>
        <v>49893.88</v>
      </c>
      <c r="P16" s="160">
        <f>SUM(P5:P15)</f>
        <v>573006.43000000005</v>
      </c>
    </row>
    <row r="17" spans="1:18">
      <c r="B17" s="149" t="s">
        <v>163</v>
      </c>
      <c r="C17" s="150" t="s">
        <v>164</v>
      </c>
      <c r="D17" s="151">
        <v>4454.03</v>
      </c>
      <c r="E17" s="211">
        <v>3202.98</v>
      </c>
      <c r="F17" s="220">
        <v>5148.32</v>
      </c>
      <c r="G17" s="151">
        <v>6239.21</v>
      </c>
      <c r="H17" s="151">
        <v>7867.16</v>
      </c>
      <c r="I17" s="151">
        <v>7751.4699999999993</v>
      </c>
      <c r="J17" s="151">
        <v>5520.35</v>
      </c>
      <c r="K17" s="151">
        <v>6247.36</v>
      </c>
      <c r="L17" s="151">
        <v>6536.51</v>
      </c>
      <c r="M17" s="151">
        <v>6602.81</v>
      </c>
      <c r="N17" s="151">
        <v>7346.36</v>
      </c>
      <c r="O17" s="151">
        <v>2983.3999999999996</v>
      </c>
      <c r="P17" s="151">
        <f>SUM(D17:O17)</f>
        <v>69899.959999999992</v>
      </c>
    </row>
    <row r="18" spans="1:18" ht="15" thickBot="1">
      <c r="B18" s="155" t="s">
        <v>165</v>
      </c>
      <c r="C18" s="156" t="s">
        <v>166</v>
      </c>
      <c r="D18" s="157">
        <v>31770.6</v>
      </c>
      <c r="E18" s="213">
        <v>23287</v>
      </c>
      <c r="F18" s="223">
        <v>33147.800000000003</v>
      </c>
      <c r="G18" s="157">
        <v>33133.800000000003</v>
      </c>
      <c r="H18" s="157">
        <v>42043.399999999994</v>
      </c>
      <c r="I18" s="157">
        <v>42273.799999999996</v>
      </c>
      <c r="J18" s="157">
        <v>32170.799999999999</v>
      </c>
      <c r="K18" s="157">
        <v>37229.4</v>
      </c>
      <c r="L18" s="157">
        <v>36477.800000000003</v>
      </c>
      <c r="M18" s="157">
        <v>34750.199999999997</v>
      </c>
      <c r="N18" s="157">
        <v>37871.799999999996</v>
      </c>
      <c r="O18" s="157">
        <v>17636.8</v>
      </c>
      <c r="P18" s="157">
        <f>SUM(D18:O18)</f>
        <v>401793.19999999995</v>
      </c>
    </row>
    <row r="19" spans="1:18" ht="15" thickBot="1">
      <c r="B19" s="161" t="s">
        <v>70</v>
      </c>
      <c r="C19" s="162" t="s">
        <v>71</v>
      </c>
      <c r="D19" s="163">
        <f t="shared" ref="D19:J19" si="4">SUM(D17:D18)</f>
        <v>36224.629999999997</v>
      </c>
      <c r="E19" s="163">
        <f t="shared" si="4"/>
        <v>26489.98</v>
      </c>
      <c r="F19" s="228">
        <f t="shared" si="4"/>
        <v>38296.120000000003</v>
      </c>
      <c r="G19" s="163">
        <f t="shared" si="4"/>
        <v>39373.01</v>
      </c>
      <c r="H19" s="163">
        <f t="shared" si="4"/>
        <v>49910.559999999998</v>
      </c>
      <c r="I19" s="163">
        <f t="shared" si="4"/>
        <v>50025.27</v>
      </c>
      <c r="J19" s="163">
        <f t="shared" si="4"/>
        <v>37691.15</v>
      </c>
      <c r="K19" s="163">
        <f t="shared" ref="K19:L19" si="5">SUM(K17:K18)</f>
        <v>43476.76</v>
      </c>
      <c r="L19" s="163">
        <f t="shared" si="5"/>
        <v>43014.310000000005</v>
      </c>
      <c r="M19" s="163">
        <f t="shared" ref="M19:N19" si="6">SUM(M17:M18)</f>
        <v>41353.009999999995</v>
      </c>
      <c r="N19" s="163">
        <f t="shared" si="6"/>
        <v>45218.159999999996</v>
      </c>
      <c r="O19" s="163">
        <f t="shared" ref="O19" si="7">SUM(O17:O18)</f>
        <v>20620.199999999997</v>
      </c>
      <c r="P19" s="163">
        <f>SUM(P17:P18)</f>
        <v>471693.15999999992</v>
      </c>
    </row>
    <row r="20" spans="1:18" ht="15.75" thickBot="1">
      <c r="B20" s="164" t="s">
        <v>73</v>
      </c>
      <c r="C20" s="96"/>
      <c r="D20" s="165">
        <f t="shared" ref="D20:J20" si="8">D19-D16</f>
        <v>-15620.07</v>
      </c>
      <c r="E20" s="165">
        <f t="shared" si="8"/>
        <v>-8905.1200000000063</v>
      </c>
      <c r="F20" s="229">
        <f t="shared" si="8"/>
        <v>-4723.8099999999977</v>
      </c>
      <c r="G20" s="165">
        <f t="shared" si="8"/>
        <v>846.7300000000032</v>
      </c>
      <c r="H20" s="165">
        <f t="shared" si="8"/>
        <v>6886.7900000000009</v>
      </c>
      <c r="I20" s="165">
        <f t="shared" si="8"/>
        <v>-497.81999999999971</v>
      </c>
      <c r="J20" s="165">
        <f t="shared" si="8"/>
        <v>-19799.049999999996</v>
      </c>
      <c r="K20" s="165">
        <f t="shared" ref="K20:L20" si="9">K19-K16</f>
        <v>-6686.6999999999971</v>
      </c>
      <c r="L20" s="165">
        <f t="shared" si="9"/>
        <v>-1677.3899999999921</v>
      </c>
      <c r="M20" s="165">
        <f t="shared" ref="M20:N20" si="10">M19-M16</f>
        <v>952.72999999999593</v>
      </c>
      <c r="N20" s="165">
        <f t="shared" si="10"/>
        <v>-22815.879999999997</v>
      </c>
      <c r="O20" s="165">
        <f t="shared" ref="O20" si="11">O19-O16</f>
        <v>-29273.68</v>
      </c>
      <c r="P20" s="214">
        <f>P19-P16</f>
        <v>-101313.27000000014</v>
      </c>
    </row>
    <row r="21" spans="1:18" customFormat="1" ht="15.75" thickBot="1">
      <c r="A21" s="11" t="s">
        <v>73</v>
      </c>
      <c r="B21" s="12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</row>
    <row r="22" spans="1:18" ht="15.75" thickBot="1">
      <c r="B22" s="94" t="s">
        <v>74</v>
      </c>
      <c r="C22" s="166" t="s">
        <v>208</v>
      </c>
      <c r="D22" s="139">
        <v>1588.53</v>
      </c>
      <c r="E22" s="139">
        <v>1164.3499999999999</v>
      </c>
      <c r="F22" s="139">
        <v>1657.39</v>
      </c>
      <c r="G22" s="139">
        <v>1656.69</v>
      </c>
      <c r="H22" s="139">
        <v>2102.17</v>
      </c>
      <c r="I22" s="139">
        <v>2113.69</v>
      </c>
      <c r="J22" s="167">
        <v>1608.54</v>
      </c>
      <c r="K22" s="167">
        <v>1861.47</v>
      </c>
      <c r="L22" s="167">
        <v>1823.89</v>
      </c>
      <c r="M22" s="167">
        <v>1824.89</v>
      </c>
      <c r="N22" s="167">
        <v>1893.59</v>
      </c>
      <c r="O22" s="167">
        <v>881.84</v>
      </c>
      <c r="P22" s="167">
        <f>SUM(D22:O22)</f>
        <v>20177.04</v>
      </c>
    </row>
    <row r="23" spans="1:18" ht="15" thickBot="1">
      <c r="B23" s="121" t="s">
        <v>203</v>
      </c>
      <c r="C23" s="168" t="s">
        <v>205</v>
      </c>
      <c r="D23" s="87">
        <v>20</v>
      </c>
      <c r="E23" s="87">
        <v>20</v>
      </c>
      <c r="F23" s="87">
        <v>20</v>
      </c>
      <c r="G23" s="87">
        <v>20</v>
      </c>
      <c r="H23" s="87">
        <v>20</v>
      </c>
      <c r="I23" s="87">
        <v>20</v>
      </c>
      <c r="J23" s="87">
        <v>20</v>
      </c>
      <c r="K23" s="87">
        <v>20</v>
      </c>
      <c r="L23" s="87">
        <v>20</v>
      </c>
      <c r="M23" s="87">
        <v>20</v>
      </c>
      <c r="N23" s="87">
        <v>20</v>
      </c>
      <c r="O23" s="87">
        <v>20</v>
      </c>
      <c r="P23" s="169">
        <v>20</v>
      </c>
    </row>
    <row r="24" spans="1:18" ht="15.75" thickBot="1">
      <c r="B24" s="132" t="s">
        <v>203</v>
      </c>
      <c r="C24" s="170" t="s">
        <v>206</v>
      </c>
      <c r="D24" s="91">
        <f>(D16-D17)/D22</f>
        <v>29.83303431474382</v>
      </c>
      <c r="E24" s="91">
        <f>(E16-E17)/E22</f>
        <v>27.648147034826305</v>
      </c>
      <c r="F24" s="91">
        <f>(F16-F17)/F22</f>
        <v>22.850149934535626</v>
      </c>
      <c r="G24" s="91">
        <f>(G16-G17)/G22</f>
        <v>19.488902570788742</v>
      </c>
      <c r="H24" s="91">
        <f t="shared" ref="H24:I24" si="12">(H16-H17)/H22</f>
        <v>16.723961430331514</v>
      </c>
      <c r="I24" s="91">
        <f t="shared" si="12"/>
        <v>20.235521765254127</v>
      </c>
      <c r="J24" s="91">
        <f t="shared" ref="J24" si="13">(J16-J17)/J22</f>
        <v>32.308708518283659</v>
      </c>
      <c r="K24" s="91">
        <f t="shared" ref="K24:P24" si="14">(K16-K17)/K22</f>
        <v>23.592161034021498</v>
      </c>
      <c r="L24" s="91">
        <f t="shared" si="14"/>
        <v>20.919677173513751</v>
      </c>
      <c r="M24" s="91">
        <f t="shared" si="14"/>
        <v>18.52027793456044</v>
      </c>
      <c r="N24" s="91">
        <f t="shared" si="14"/>
        <v>32.049007440892694</v>
      </c>
      <c r="O24" s="91">
        <f t="shared" si="14"/>
        <v>53.196135353352076</v>
      </c>
      <c r="P24" s="171">
        <f t="shared" si="14"/>
        <v>24.934602399559108</v>
      </c>
    </row>
    <row r="25" spans="1:18" ht="15" thickBot="1"/>
    <row r="26" spans="1:18" ht="15.75" thickBot="1">
      <c r="B26" s="94" t="s">
        <v>86</v>
      </c>
      <c r="C26" s="166" t="s">
        <v>207</v>
      </c>
      <c r="D26" s="139">
        <v>100.1</v>
      </c>
      <c r="E26" s="167">
        <v>68.239999999999995</v>
      </c>
      <c r="F26" s="167">
        <v>101.59</v>
      </c>
      <c r="G26" s="167">
        <v>98.72</v>
      </c>
      <c r="H26" s="167">
        <v>133.83000000000001</v>
      </c>
      <c r="I26" s="167">
        <v>132.09</v>
      </c>
      <c r="J26" s="167">
        <v>105.76</v>
      </c>
      <c r="K26" s="167">
        <v>105.49</v>
      </c>
      <c r="L26" s="167">
        <v>115.75</v>
      </c>
      <c r="M26" s="167">
        <v>107.29</v>
      </c>
      <c r="N26" s="167">
        <v>113.9</v>
      </c>
      <c r="O26" s="167">
        <v>64.8</v>
      </c>
      <c r="P26" s="167">
        <f>SUM(D26:O26)</f>
        <v>1247.5600000000002</v>
      </c>
    </row>
    <row r="27" spans="1:18" ht="15.75" thickBot="1">
      <c r="B27" s="172" t="s">
        <v>204</v>
      </c>
      <c r="C27" s="173" t="s">
        <v>202</v>
      </c>
      <c r="D27" s="174">
        <f>D6/D26</f>
        <v>26.626973026973026</v>
      </c>
      <c r="E27" s="174">
        <f>E6/E26</f>
        <v>28.72538100820633</v>
      </c>
      <c r="F27" s="174">
        <f t="shared" ref="F27:I27" si="15">F6/F26</f>
        <v>25.482626242740423</v>
      </c>
      <c r="G27" s="174">
        <f t="shared" si="15"/>
        <v>31.276134521880063</v>
      </c>
      <c r="H27" s="174">
        <f t="shared" si="15"/>
        <v>29.493088246282593</v>
      </c>
      <c r="I27" s="174">
        <f t="shared" si="15"/>
        <v>32.011507305624946</v>
      </c>
      <c r="J27" s="174">
        <f t="shared" ref="J27:P27" si="16">J6/J26</f>
        <v>23.354670953101358</v>
      </c>
      <c r="K27" s="174">
        <f t="shared" si="16"/>
        <v>50.268840648402694</v>
      </c>
      <c r="L27" s="174">
        <f t="shared" si="16"/>
        <v>43.57157667386609</v>
      </c>
      <c r="M27" s="174">
        <f t="shared" si="16"/>
        <v>26.704445894305152</v>
      </c>
      <c r="N27" s="174">
        <f t="shared" si="16"/>
        <v>29.619754170324843</v>
      </c>
      <c r="O27" s="174">
        <f>O6/O26</f>
        <v>33.646759259259262</v>
      </c>
      <c r="P27" s="171">
        <f t="shared" si="16"/>
        <v>31.832360768219559</v>
      </c>
    </row>
    <row r="28" spans="1:18" ht="15" thickBot="1"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</row>
    <row r="29" spans="1:18" ht="15.75" thickBot="1">
      <c r="B29" s="94" t="s">
        <v>224</v>
      </c>
      <c r="C29" s="166" t="s">
        <v>225</v>
      </c>
      <c r="D29" s="139">
        <f>SUM(D30:D31)</f>
        <v>178</v>
      </c>
      <c r="E29" s="139">
        <f>SUM(E30:E31)</f>
        <v>119</v>
      </c>
      <c r="F29" s="139">
        <f>SUM(F30:F31)</f>
        <v>175</v>
      </c>
      <c r="G29" s="139">
        <f>SUM(G30:G31)</f>
        <v>205</v>
      </c>
      <c r="H29" s="139">
        <f t="shared" ref="H29:J29" si="17">SUM(H30:H31)</f>
        <v>263</v>
      </c>
      <c r="I29" s="139">
        <f t="shared" si="17"/>
        <v>257</v>
      </c>
      <c r="J29" s="139">
        <f t="shared" si="17"/>
        <v>176</v>
      </c>
      <c r="K29" s="139">
        <f t="shared" ref="K29:L29" si="18">SUM(K30:K31)</f>
        <v>214</v>
      </c>
      <c r="L29" s="139">
        <f t="shared" si="18"/>
        <v>239</v>
      </c>
      <c r="M29" s="139">
        <f t="shared" ref="M29:O29" si="19">SUM(M30:M31)</f>
        <v>214</v>
      </c>
      <c r="N29" s="139">
        <f t="shared" si="19"/>
        <v>269</v>
      </c>
      <c r="O29" s="139">
        <f t="shared" si="19"/>
        <v>106</v>
      </c>
      <c r="P29" s="139">
        <f>SUM(D29:O29)</f>
        <v>2415</v>
      </c>
    </row>
    <row r="30" spans="1:18">
      <c r="B30" s="121" t="s">
        <v>228</v>
      </c>
      <c r="C30" s="168" t="s">
        <v>226</v>
      </c>
      <c r="D30" s="87">
        <v>168</v>
      </c>
      <c r="E30" s="87">
        <v>112</v>
      </c>
      <c r="F30" s="87">
        <v>168</v>
      </c>
      <c r="G30" s="87">
        <v>203</v>
      </c>
      <c r="H30" s="87">
        <v>247</v>
      </c>
      <c r="I30" s="87">
        <v>231</v>
      </c>
      <c r="J30" s="87">
        <v>165</v>
      </c>
      <c r="K30" s="87">
        <v>195</v>
      </c>
      <c r="L30" s="87">
        <v>231</v>
      </c>
      <c r="M30" s="87">
        <v>201</v>
      </c>
      <c r="N30" s="87">
        <v>258</v>
      </c>
      <c r="O30" s="87">
        <v>95</v>
      </c>
      <c r="P30" s="87">
        <f>SUM(D30:O30)</f>
        <v>2274</v>
      </c>
    </row>
    <row r="31" spans="1:18" ht="15" thickBot="1">
      <c r="B31" s="132" t="s">
        <v>228</v>
      </c>
      <c r="C31" s="170" t="s">
        <v>227</v>
      </c>
      <c r="D31" s="91">
        <v>10</v>
      </c>
      <c r="E31" s="91">
        <v>7</v>
      </c>
      <c r="F31" s="91">
        <v>7</v>
      </c>
      <c r="G31" s="91">
        <v>2</v>
      </c>
      <c r="H31" s="91">
        <v>16</v>
      </c>
      <c r="I31" s="91">
        <v>26</v>
      </c>
      <c r="J31" s="91">
        <v>11</v>
      </c>
      <c r="K31" s="91">
        <v>19</v>
      </c>
      <c r="L31" s="91">
        <v>8</v>
      </c>
      <c r="M31" s="91">
        <v>13</v>
      </c>
      <c r="N31" s="91">
        <v>11</v>
      </c>
      <c r="O31" s="91">
        <v>11</v>
      </c>
      <c r="P31" s="91">
        <f>SUM(D31:O31)</f>
        <v>141</v>
      </c>
    </row>
    <row r="32" spans="1:18" ht="15.75" thickBot="1">
      <c r="B32" s="94" t="s">
        <v>229</v>
      </c>
      <c r="C32" s="166" t="s">
        <v>230</v>
      </c>
      <c r="D32" s="139">
        <f>D16/D29</f>
        <v>291.26235955056177</v>
      </c>
      <c r="E32" s="139">
        <f t="shared" ref="E32" si="20">E16/E29</f>
        <v>297.43781512605045</v>
      </c>
      <c r="F32" s="139">
        <f t="shared" ref="F32" si="21">F16/F29</f>
        <v>245.82817142857144</v>
      </c>
      <c r="G32" s="139">
        <f>G16/G29</f>
        <v>187.93307317073169</v>
      </c>
      <c r="H32" s="139">
        <f t="shared" ref="H32:I32" si="22">H16/H29</f>
        <v>163.58847908745247</v>
      </c>
      <c r="I32" s="139">
        <f t="shared" si="22"/>
        <v>196.5878988326848</v>
      </c>
      <c r="J32" s="139">
        <f t="shared" ref="J32:K32" si="23">J16/J29</f>
        <v>326.64886363636361</v>
      </c>
      <c r="K32" s="139">
        <f t="shared" si="23"/>
        <v>234.40869158878505</v>
      </c>
      <c r="L32" s="139">
        <f t="shared" ref="L32:M32" si="24">L16/L29</f>
        <v>186.99456066945606</v>
      </c>
      <c r="M32" s="139">
        <f t="shared" si="24"/>
        <v>188.78635514018691</v>
      </c>
      <c r="N32" s="139">
        <f t="shared" ref="N32" si="25">N16/N29</f>
        <v>252.91464684014866</v>
      </c>
      <c r="O32" s="139">
        <f t="shared" ref="O32" si="26">O16/O29</f>
        <v>470.69698113207545</v>
      </c>
      <c r="P32" s="171">
        <f>P16/P29</f>
        <v>237.26974327122156</v>
      </c>
    </row>
    <row r="33" spans="2:16" ht="15.75" thickBot="1">
      <c r="B33" s="94" t="s">
        <v>233</v>
      </c>
      <c r="C33" s="166" t="s">
        <v>234</v>
      </c>
      <c r="D33" s="139">
        <f>D22/D29</f>
        <v>8.9243258426966285</v>
      </c>
      <c r="E33" s="139">
        <f t="shared" ref="E33" si="27">E22/E29</f>
        <v>9.7844537815126049</v>
      </c>
      <c r="F33" s="139">
        <f t="shared" ref="F33" si="28">F22/F29</f>
        <v>9.4708000000000006</v>
      </c>
      <c r="G33" s="139">
        <f>G22/G29</f>
        <v>8.0814146341463413</v>
      </c>
      <c r="H33" s="139">
        <f t="shared" ref="H33:I33" si="29">H22/H29</f>
        <v>7.993041825095057</v>
      </c>
      <c r="I33" s="139">
        <f t="shared" si="29"/>
        <v>8.224474708171206</v>
      </c>
      <c r="J33" s="139">
        <f t="shared" ref="J33:K33" si="30">J22/J29</f>
        <v>9.1394318181818175</v>
      </c>
      <c r="K33" s="139">
        <f t="shared" si="30"/>
        <v>8.6984579439252343</v>
      </c>
      <c r="L33" s="139">
        <f t="shared" ref="L33:M33" si="31">L22/L29</f>
        <v>7.6313389121338915</v>
      </c>
      <c r="M33" s="139">
        <f t="shared" si="31"/>
        <v>8.5275233644859814</v>
      </c>
      <c r="N33" s="139">
        <f t="shared" ref="N33" si="32">N22/N29</f>
        <v>7.0393680297397765</v>
      </c>
      <c r="O33" s="139">
        <f t="shared" ref="O33" si="33">O22/O29</f>
        <v>8.3192452830188675</v>
      </c>
      <c r="P33" s="171">
        <f>P22/P29</f>
        <v>8.3548819875776399</v>
      </c>
    </row>
    <row r="34" spans="2:16" ht="15" thickBot="1"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</row>
    <row r="35" spans="2:16" ht="15.75" thickBot="1">
      <c r="B35" s="94" t="s">
        <v>231</v>
      </c>
      <c r="C35" s="166" t="s">
        <v>232</v>
      </c>
      <c r="D35" s="139">
        <v>184</v>
      </c>
      <c r="E35" s="139">
        <v>124</v>
      </c>
      <c r="F35" s="139">
        <v>188</v>
      </c>
      <c r="G35" s="139">
        <v>230</v>
      </c>
      <c r="H35" s="139">
        <v>287</v>
      </c>
      <c r="I35" s="139">
        <v>283</v>
      </c>
      <c r="J35" s="139">
        <v>206</v>
      </c>
      <c r="K35" s="139">
        <v>225</v>
      </c>
      <c r="L35" s="139">
        <v>258</v>
      </c>
      <c r="M35" s="139">
        <v>240</v>
      </c>
      <c r="N35" s="139">
        <v>280</v>
      </c>
      <c r="O35" s="139">
        <v>113</v>
      </c>
      <c r="P35" s="139">
        <f>SUM(D35:O35)</f>
        <v>2618</v>
      </c>
    </row>
    <row r="36" spans="2:16"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</row>
    <row r="37" spans="2:16" ht="15">
      <c r="M37" s="277" t="s">
        <v>285</v>
      </c>
      <c r="N37" s="277"/>
      <c r="O37" s="277"/>
      <c r="P37" s="278">
        <f>P18-P20</f>
        <v>503106.47000000009</v>
      </c>
    </row>
  </sheetData>
  <phoneticPr fontId="7" type="noConversion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zoomScale="80" zoomScaleNormal="80" workbookViewId="0">
      <selection activeCell="N46" sqref="N46"/>
    </sheetView>
  </sheetViews>
  <sheetFormatPr defaultRowHeight="15"/>
  <cols>
    <col min="2" max="2" width="72.28515625" bestFit="1" customWidth="1"/>
    <col min="4" max="4" width="11.140625" customWidth="1"/>
    <col min="5" max="7" width="11" customWidth="1"/>
    <col min="8" max="8" width="10.7109375" customWidth="1"/>
    <col min="9" max="9" width="11.42578125" customWidth="1"/>
    <col min="10" max="10" width="11.7109375" customWidth="1"/>
    <col min="11" max="11" width="11.42578125" customWidth="1"/>
    <col min="12" max="12" width="10.5703125" customWidth="1"/>
    <col min="13" max="14" width="10.7109375" customWidth="1"/>
    <col min="15" max="15" width="11.7109375" customWidth="1"/>
    <col min="16" max="16" width="12" customWidth="1"/>
  </cols>
  <sheetData>
    <row r="1" spans="1:16" ht="26.25">
      <c r="A1" s="2"/>
      <c r="B1" s="2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 t="s">
        <v>251</v>
      </c>
      <c r="P1" s="3"/>
    </row>
    <row r="2" spans="1:16">
      <c r="A2" s="3" t="s">
        <v>19</v>
      </c>
      <c r="B2" s="3" t="s">
        <v>252</v>
      </c>
      <c r="C2" s="3" t="s">
        <v>21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253</v>
      </c>
      <c r="P2" s="3"/>
    </row>
    <row r="3" spans="1:16" ht="15.75" thickBot="1">
      <c r="A3" s="3"/>
      <c r="B3" s="3" t="s">
        <v>22</v>
      </c>
      <c r="C3" s="3" t="s">
        <v>254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 thickTop="1">
      <c r="A4" s="4"/>
      <c r="B4" s="4"/>
      <c r="C4" s="4" t="s">
        <v>255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 t="s">
        <v>24</v>
      </c>
    </row>
    <row r="5" spans="1:16">
      <c r="A5" s="5"/>
      <c r="B5" s="5"/>
      <c r="C5" s="6" t="s">
        <v>25</v>
      </c>
      <c r="D5" s="6" t="s">
        <v>26</v>
      </c>
      <c r="E5" s="6" t="s">
        <v>27</v>
      </c>
      <c r="F5" s="6" t="s">
        <v>28</v>
      </c>
      <c r="G5" s="6" t="s">
        <v>29</v>
      </c>
      <c r="H5" s="6" t="s">
        <v>30</v>
      </c>
      <c r="I5" s="6" t="s">
        <v>256</v>
      </c>
      <c r="J5" s="6" t="s">
        <v>257</v>
      </c>
      <c r="K5" s="6" t="s">
        <v>97</v>
      </c>
      <c r="L5" s="6" t="s">
        <v>98</v>
      </c>
      <c r="M5" s="6" t="s">
        <v>99</v>
      </c>
      <c r="N5" s="6" t="s">
        <v>100</v>
      </c>
      <c r="O5" s="6" t="s">
        <v>101</v>
      </c>
      <c r="P5" s="6"/>
    </row>
    <row r="6" spans="1:16" ht="15.75" thickBot="1">
      <c r="A6" s="7" t="s">
        <v>3</v>
      </c>
      <c r="B6" s="7" t="s">
        <v>32</v>
      </c>
      <c r="C6" s="8" t="s">
        <v>258</v>
      </c>
      <c r="D6" s="8" t="s">
        <v>258</v>
      </c>
      <c r="E6" s="8" t="s">
        <v>258</v>
      </c>
      <c r="F6" s="8" t="s">
        <v>258</v>
      </c>
      <c r="G6" s="8" t="s">
        <v>258</v>
      </c>
      <c r="H6" s="8" t="s">
        <v>258</v>
      </c>
      <c r="I6" s="8" t="s">
        <v>258</v>
      </c>
      <c r="J6" s="8" t="s">
        <v>258</v>
      </c>
      <c r="K6" s="8" t="s">
        <v>258</v>
      </c>
      <c r="L6" s="8" t="s">
        <v>258</v>
      </c>
      <c r="M6" s="8" t="s">
        <v>258</v>
      </c>
      <c r="N6" s="8" t="s">
        <v>258</v>
      </c>
      <c r="O6" s="8" t="s">
        <v>258</v>
      </c>
      <c r="P6" s="8"/>
    </row>
    <row r="7" spans="1:16" ht="15.75" thickTop="1">
      <c r="A7" s="9" t="s">
        <v>34</v>
      </c>
      <c r="B7" t="s">
        <v>35</v>
      </c>
      <c r="C7" s="10">
        <v>0</v>
      </c>
      <c r="D7" s="10">
        <v>0</v>
      </c>
      <c r="E7" s="10">
        <v>0</v>
      </c>
      <c r="F7" s="10">
        <v>232.32</v>
      </c>
      <c r="G7" s="10">
        <v>195.04</v>
      </c>
      <c r="H7" s="10">
        <v>0</v>
      </c>
      <c r="I7" s="10">
        <v>275.20999999999998</v>
      </c>
      <c r="J7" s="10">
        <v>0</v>
      </c>
      <c r="K7" s="10">
        <v>0</v>
      </c>
      <c r="L7" s="10">
        <v>213.98</v>
      </c>
      <c r="M7" s="10">
        <v>0</v>
      </c>
      <c r="N7" s="10">
        <v>192.48999999999998</v>
      </c>
      <c r="O7" s="10">
        <v>0</v>
      </c>
      <c r="P7" s="10">
        <v>1109.04</v>
      </c>
    </row>
    <row r="8" spans="1:16">
      <c r="A8" s="9" t="s">
        <v>36</v>
      </c>
      <c r="B8" t="s">
        <v>37</v>
      </c>
      <c r="C8" s="10">
        <v>0</v>
      </c>
      <c r="D8" s="10">
        <v>2665.3599999999997</v>
      </c>
      <c r="E8" s="10">
        <v>1960.2199999999998</v>
      </c>
      <c r="F8" s="10">
        <v>2588.7799999999997</v>
      </c>
      <c r="G8" s="10">
        <v>3087.58</v>
      </c>
      <c r="H8" s="10">
        <v>3947.06</v>
      </c>
      <c r="I8" s="10">
        <v>4228.3999999999996</v>
      </c>
      <c r="J8" s="10">
        <v>2469.9899999999998</v>
      </c>
      <c r="K8" s="10">
        <v>5302.86</v>
      </c>
      <c r="L8" s="10">
        <v>5043.41</v>
      </c>
      <c r="M8" s="10">
        <v>2865.12</v>
      </c>
      <c r="N8" s="10">
        <v>3373.6899999999996</v>
      </c>
      <c r="O8" s="10">
        <v>2180.31</v>
      </c>
      <c r="P8" s="10">
        <v>39712.78</v>
      </c>
    </row>
    <row r="9" spans="1:16">
      <c r="A9" s="9" t="s">
        <v>40</v>
      </c>
      <c r="B9" t="s">
        <v>41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700</v>
      </c>
      <c r="L9" s="10">
        <v>0</v>
      </c>
      <c r="M9" s="10">
        <v>0</v>
      </c>
      <c r="N9" s="10">
        <v>0</v>
      </c>
      <c r="O9" s="10">
        <v>0</v>
      </c>
      <c r="P9" s="10">
        <v>700</v>
      </c>
    </row>
    <row r="10" spans="1:16">
      <c r="A10" s="11" t="s">
        <v>259</v>
      </c>
      <c r="B10" s="12" t="s">
        <v>260</v>
      </c>
      <c r="C10" s="13">
        <v>0</v>
      </c>
      <c r="D10" s="13">
        <v>2665.3599999999997</v>
      </c>
      <c r="E10" s="13">
        <v>1960.2199999999998</v>
      </c>
      <c r="F10" s="13">
        <v>2821.1</v>
      </c>
      <c r="G10" s="13">
        <v>3282.62</v>
      </c>
      <c r="H10" s="13">
        <v>3947.06</v>
      </c>
      <c r="I10" s="13">
        <v>4503.6099999999997</v>
      </c>
      <c r="J10" s="13">
        <v>2469.9899999999998</v>
      </c>
      <c r="K10" s="13">
        <v>6002.86</v>
      </c>
      <c r="L10" s="13">
        <v>5257.3899999999994</v>
      </c>
      <c r="M10" s="13">
        <v>2865.12</v>
      </c>
      <c r="N10" s="13">
        <v>3566.18</v>
      </c>
      <c r="O10" s="13">
        <v>2180.31</v>
      </c>
      <c r="P10" s="13">
        <v>41521.82</v>
      </c>
    </row>
    <row r="11" spans="1:16">
      <c r="A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>
      <c r="A12" s="9" t="s">
        <v>44</v>
      </c>
      <c r="B12" t="s">
        <v>45</v>
      </c>
      <c r="C12" s="10">
        <v>0</v>
      </c>
      <c r="D12" s="10">
        <v>0</v>
      </c>
      <c r="E12" s="10">
        <v>0</v>
      </c>
      <c r="F12" s="10">
        <v>0</v>
      </c>
      <c r="G12" s="10">
        <v>452</v>
      </c>
      <c r="H12" s="10">
        <v>0</v>
      </c>
      <c r="I12" s="10">
        <v>2600.75</v>
      </c>
      <c r="J12" s="10">
        <v>0</v>
      </c>
      <c r="K12" s="10">
        <v>0</v>
      </c>
      <c r="L12" s="10">
        <v>0</v>
      </c>
      <c r="M12" s="10">
        <v>560</v>
      </c>
      <c r="N12" s="10">
        <v>0</v>
      </c>
      <c r="O12" s="10">
        <v>14762.759999999998</v>
      </c>
      <c r="P12" s="10">
        <v>18375.509999999998</v>
      </c>
    </row>
    <row r="13" spans="1:16">
      <c r="A13" s="11" t="s">
        <v>261</v>
      </c>
      <c r="B13" s="12" t="s">
        <v>262</v>
      </c>
      <c r="C13" s="13">
        <v>0</v>
      </c>
      <c r="D13" s="13">
        <v>0</v>
      </c>
      <c r="E13" s="13">
        <v>0</v>
      </c>
      <c r="F13" s="13">
        <v>0</v>
      </c>
      <c r="G13" s="13">
        <v>452</v>
      </c>
      <c r="H13" s="13">
        <v>0</v>
      </c>
      <c r="I13" s="13">
        <v>2600.75</v>
      </c>
      <c r="J13" s="13">
        <v>0</v>
      </c>
      <c r="K13" s="13">
        <v>0</v>
      </c>
      <c r="L13" s="13">
        <v>0</v>
      </c>
      <c r="M13" s="13">
        <v>560</v>
      </c>
      <c r="N13" s="13">
        <v>0</v>
      </c>
      <c r="O13" s="13">
        <v>14762.759999999998</v>
      </c>
      <c r="P13" s="13">
        <v>18375.509999999998</v>
      </c>
    </row>
    <row r="14" spans="1:16">
      <c r="A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>
      <c r="A15" s="9" t="s">
        <v>48</v>
      </c>
      <c r="B15" t="s">
        <v>263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1161.1899999999998</v>
      </c>
      <c r="I15" s="10">
        <v>0</v>
      </c>
      <c r="J15" s="10">
        <v>0</v>
      </c>
      <c r="K15" s="10">
        <v>260</v>
      </c>
      <c r="L15" s="10">
        <v>0</v>
      </c>
      <c r="M15" s="10">
        <v>0</v>
      </c>
      <c r="N15" s="10">
        <v>0</v>
      </c>
      <c r="O15" s="10">
        <v>0</v>
      </c>
      <c r="P15" s="10">
        <v>1421.1899999999998</v>
      </c>
    </row>
    <row r="16" spans="1:16">
      <c r="A16" s="11" t="s">
        <v>264</v>
      </c>
      <c r="B16" s="12" t="s">
        <v>265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1161.1899999999998</v>
      </c>
      <c r="I16" s="13">
        <v>0</v>
      </c>
      <c r="J16" s="13">
        <v>0</v>
      </c>
      <c r="K16" s="13">
        <v>260</v>
      </c>
      <c r="L16" s="13">
        <v>0</v>
      </c>
      <c r="M16" s="13">
        <v>0</v>
      </c>
      <c r="N16" s="13">
        <v>0</v>
      </c>
      <c r="O16" s="13">
        <v>0</v>
      </c>
      <c r="P16" s="13">
        <v>1421.1899999999998</v>
      </c>
    </row>
    <row r="17" spans="1:16">
      <c r="A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>
      <c r="A18" s="9" t="s">
        <v>159</v>
      </c>
      <c r="B18" t="s">
        <v>266</v>
      </c>
      <c r="C18" s="10">
        <v>0</v>
      </c>
      <c r="D18" s="10">
        <v>28052</v>
      </c>
      <c r="E18" s="10">
        <v>24126</v>
      </c>
      <c r="F18" s="10">
        <v>27296</v>
      </c>
      <c r="G18" s="10">
        <v>24922</v>
      </c>
      <c r="H18" s="10">
        <v>27035</v>
      </c>
      <c r="I18" s="10">
        <v>30631</v>
      </c>
      <c r="J18" s="10">
        <v>39298</v>
      </c>
      <c r="K18" s="10">
        <v>27296</v>
      </c>
      <c r="L18" s="10">
        <v>27493</v>
      </c>
      <c r="M18" s="10">
        <v>25372</v>
      </c>
      <c r="N18" s="10">
        <v>47063</v>
      </c>
      <c r="O18" s="10">
        <v>24032</v>
      </c>
      <c r="P18" s="10">
        <v>352616</v>
      </c>
    </row>
    <row r="19" spans="1:16">
      <c r="A19" s="11" t="s">
        <v>267</v>
      </c>
      <c r="B19" s="12" t="s">
        <v>268</v>
      </c>
      <c r="C19" s="13">
        <v>0</v>
      </c>
      <c r="D19" s="13">
        <v>28052</v>
      </c>
      <c r="E19" s="13">
        <v>24126</v>
      </c>
      <c r="F19" s="13">
        <v>27296</v>
      </c>
      <c r="G19" s="13">
        <v>24922</v>
      </c>
      <c r="H19" s="13">
        <v>27035</v>
      </c>
      <c r="I19" s="13">
        <v>30631</v>
      </c>
      <c r="J19" s="13">
        <v>39298</v>
      </c>
      <c r="K19" s="13">
        <v>27296</v>
      </c>
      <c r="L19" s="13">
        <v>27493</v>
      </c>
      <c r="M19" s="13">
        <v>25372</v>
      </c>
      <c r="N19" s="13">
        <v>47063</v>
      </c>
      <c r="O19" s="13">
        <v>24032</v>
      </c>
      <c r="P19" s="13">
        <v>352616</v>
      </c>
    </row>
    <row r="20" spans="1:16">
      <c r="A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>
      <c r="A21" s="9" t="s">
        <v>160</v>
      </c>
      <c r="B21" t="s">
        <v>161</v>
      </c>
      <c r="C21" s="10">
        <v>0</v>
      </c>
      <c r="D21" s="10">
        <v>8831.25</v>
      </c>
      <c r="E21" s="10">
        <v>8154.0099999999993</v>
      </c>
      <c r="F21" s="10">
        <v>9225.4</v>
      </c>
      <c r="G21" s="10">
        <v>8423.65</v>
      </c>
      <c r="H21" s="10">
        <v>9137.6799999999985</v>
      </c>
      <c r="I21" s="10">
        <v>10353.48</v>
      </c>
      <c r="J21" s="10">
        <v>13283.38</v>
      </c>
      <c r="K21" s="10">
        <v>9225.4</v>
      </c>
      <c r="L21" s="10">
        <v>9292.2599999999984</v>
      </c>
      <c r="M21" s="10">
        <v>8576.25</v>
      </c>
      <c r="N21" s="10">
        <v>15907.25</v>
      </c>
      <c r="O21" s="10">
        <v>7016.7199999999993</v>
      </c>
      <c r="P21" s="10">
        <v>117426.73</v>
      </c>
    </row>
    <row r="22" spans="1:16">
      <c r="A22" s="11" t="s">
        <v>269</v>
      </c>
      <c r="B22" s="12" t="s">
        <v>270</v>
      </c>
      <c r="C22" s="13">
        <v>0</v>
      </c>
      <c r="D22" s="13">
        <v>8831.25</v>
      </c>
      <c r="E22" s="13">
        <v>8154.0099999999993</v>
      </c>
      <c r="F22" s="13">
        <v>9225.4</v>
      </c>
      <c r="G22" s="13">
        <v>8423.65</v>
      </c>
      <c r="H22" s="13">
        <v>9137.6799999999985</v>
      </c>
      <c r="I22" s="13">
        <v>10353.48</v>
      </c>
      <c r="J22" s="13">
        <v>13283.38</v>
      </c>
      <c r="K22" s="13">
        <v>9225.4</v>
      </c>
      <c r="L22" s="13">
        <v>9292.2599999999984</v>
      </c>
      <c r="M22" s="13">
        <v>8576.25</v>
      </c>
      <c r="N22" s="13">
        <v>15907.25</v>
      </c>
      <c r="O22" s="13">
        <v>7016.7199999999993</v>
      </c>
      <c r="P22" s="13">
        <v>117426.73</v>
      </c>
    </row>
    <row r="23" spans="1:16">
      <c r="A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>
      <c r="A24" s="9" t="s">
        <v>162</v>
      </c>
      <c r="B24" t="s">
        <v>271</v>
      </c>
      <c r="C24" s="10">
        <v>0</v>
      </c>
      <c r="D24" s="10">
        <v>935</v>
      </c>
      <c r="E24" s="10">
        <v>880</v>
      </c>
      <c r="F24" s="10">
        <v>1265</v>
      </c>
      <c r="G24" s="10">
        <v>1050</v>
      </c>
      <c r="H24" s="10">
        <v>1210</v>
      </c>
      <c r="I24" s="10">
        <v>1210</v>
      </c>
      <c r="J24" s="10">
        <v>594</v>
      </c>
      <c r="K24" s="10">
        <v>1518</v>
      </c>
      <c r="L24" s="10">
        <v>1518</v>
      </c>
      <c r="M24" s="10">
        <v>1188</v>
      </c>
      <c r="N24" s="10">
        <v>1056</v>
      </c>
      <c r="O24" s="10">
        <v>924</v>
      </c>
      <c r="P24" s="10">
        <v>13348</v>
      </c>
    </row>
    <row r="25" spans="1:16">
      <c r="A25" s="9" t="s">
        <v>272</v>
      </c>
      <c r="B25" t="s">
        <v>273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-5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-5</v>
      </c>
    </row>
    <row r="26" spans="1:16">
      <c r="A26" s="11" t="s">
        <v>274</v>
      </c>
      <c r="B26" s="12" t="s">
        <v>275</v>
      </c>
      <c r="C26" s="13">
        <v>0</v>
      </c>
      <c r="D26" s="13">
        <v>935</v>
      </c>
      <c r="E26" s="13">
        <v>880</v>
      </c>
      <c r="F26" s="13">
        <v>1265</v>
      </c>
      <c r="G26" s="13">
        <v>1050</v>
      </c>
      <c r="H26" s="13">
        <v>1205</v>
      </c>
      <c r="I26" s="13">
        <v>1210</v>
      </c>
      <c r="J26" s="13">
        <v>594</v>
      </c>
      <c r="K26" s="13">
        <v>1518</v>
      </c>
      <c r="L26" s="13">
        <v>1518</v>
      </c>
      <c r="M26" s="13">
        <v>1188</v>
      </c>
      <c r="N26" s="13">
        <v>1056</v>
      </c>
      <c r="O26" s="13">
        <v>924</v>
      </c>
      <c r="P26" s="13">
        <v>13343</v>
      </c>
    </row>
    <row r="27" spans="1:16">
      <c r="A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>
      <c r="A28" s="9" t="s">
        <v>124</v>
      </c>
      <c r="B28" t="s">
        <v>142</v>
      </c>
      <c r="C28" s="10">
        <v>0</v>
      </c>
      <c r="D28" s="10">
        <v>405.09</v>
      </c>
      <c r="E28" s="10">
        <v>274.86999999999995</v>
      </c>
      <c r="F28" s="10">
        <v>408.42999999999995</v>
      </c>
      <c r="G28" s="10">
        <v>396.01</v>
      </c>
      <c r="H28" s="10">
        <v>537.83999999999992</v>
      </c>
      <c r="I28" s="10">
        <v>530.25</v>
      </c>
      <c r="J28" s="10">
        <v>417.83</v>
      </c>
      <c r="K28" s="10">
        <v>419.2</v>
      </c>
      <c r="L28" s="10">
        <v>454.04999999999995</v>
      </c>
      <c r="M28" s="10">
        <v>411.90999999999997</v>
      </c>
      <c r="N28" s="10">
        <v>441.60999999999996</v>
      </c>
      <c r="O28" s="10">
        <v>252.08999999999997</v>
      </c>
      <c r="P28" s="10">
        <v>4949.1799999999994</v>
      </c>
    </row>
    <row r="29" spans="1:16">
      <c r="A29" s="11" t="s">
        <v>276</v>
      </c>
      <c r="B29" s="12" t="s">
        <v>277</v>
      </c>
      <c r="C29" s="13">
        <v>0</v>
      </c>
      <c r="D29" s="13">
        <v>405.09</v>
      </c>
      <c r="E29" s="13">
        <v>274.86999999999995</v>
      </c>
      <c r="F29" s="13">
        <v>408.42999999999995</v>
      </c>
      <c r="G29" s="13">
        <v>396.01</v>
      </c>
      <c r="H29" s="13">
        <v>537.83999999999992</v>
      </c>
      <c r="I29" s="13">
        <v>530.25</v>
      </c>
      <c r="J29" s="13">
        <v>417.83</v>
      </c>
      <c r="K29" s="13">
        <v>419.2</v>
      </c>
      <c r="L29" s="13">
        <v>454.04999999999995</v>
      </c>
      <c r="M29" s="13">
        <v>411.90999999999997</v>
      </c>
      <c r="N29" s="13">
        <v>441.60999999999996</v>
      </c>
      <c r="O29" s="13">
        <v>252.08999999999997</v>
      </c>
      <c r="P29" s="13">
        <v>4949.1799999999994</v>
      </c>
    </row>
    <row r="30" spans="1:16">
      <c r="A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>
      <c r="A31" s="9" t="s">
        <v>235</v>
      </c>
      <c r="B31" t="s">
        <v>236</v>
      </c>
      <c r="C31" s="10">
        <v>0</v>
      </c>
      <c r="D31" s="10">
        <v>0</v>
      </c>
      <c r="E31" s="10">
        <v>0</v>
      </c>
      <c r="F31" s="10">
        <v>577</v>
      </c>
      <c r="G31" s="10">
        <v>0</v>
      </c>
      <c r="H31" s="10">
        <v>0</v>
      </c>
      <c r="I31" s="10">
        <v>694</v>
      </c>
      <c r="J31" s="10">
        <v>0</v>
      </c>
      <c r="K31" s="10">
        <v>0</v>
      </c>
      <c r="L31" s="10">
        <v>677</v>
      </c>
      <c r="M31" s="10">
        <v>0</v>
      </c>
      <c r="N31" s="10">
        <v>0</v>
      </c>
      <c r="O31" s="10">
        <v>726</v>
      </c>
      <c r="P31" s="10">
        <v>2674</v>
      </c>
    </row>
    <row r="32" spans="1:16">
      <c r="A32" s="9" t="s">
        <v>60</v>
      </c>
      <c r="B32" t="s">
        <v>61</v>
      </c>
      <c r="C32" s="10">
        <v>0</v>
      </c>
      <c r="D32" s="10">
        <v>1427</v>
      </c>
      <c r="E32" s="10">
        <v>0</v>
      </c>
      <c r="F32" s="10">
        <v>1427</v>
      </c>
      <c r="G32" s="10">
        <v>0</v>
      </c>
      <c r="H32" s="10">
        <v>0</v>
      </c>
      <c r="I32" s="10">
        <v>0</v>
      </c>
      <c r="J32" s="10">
        <v>1427</v>
      </c>
      <c r="K32" s="10">
        <v>0</v>
      </c>
      <c r="L32" s="10">
        <v>0</v>
      </c>
      <c r="M32" s="10">
        <v>1427</v>
      </c>
      <c r="N32" s="10">
        <v>0</v>
      </c>
      <c r="O32" s="10">
        <v>0</v>
      </c>
      <c r="P32" s="10">
        <v>5708</v>
      </c>
    </row>
    <row r="33" spans="1:16">
      <c r="A33" s="9" t="s">
        <v>62</v>
      </c>
      <c r="B33" t="s">
        <v>63</v>
      </c>
      <c r="C33" s="10">
        <v>0</v>
      </c>
      <c r="D33" s="10">
        <v>9529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5442</v>
      </c>
      <c r="L33" s="10">
        <v>0</v>
      </c>
      <c r="M33" s="10">
        <v>0</v>
      </c>
      <c r="N33" s="10">
        <v>0</v>
      </c>
      <c r="O33" s="10">
        <v>0</v>
      </c>
      <c r="P33" s="10">
        <v>14971</v>
      </c>
    </row>
    <row r="34" spans="1:16">
      <c r="A34" s="11" t="s">
        <v>278</v>
      </c>
      <c r="B34" s="12" t="s">
        <v>279</v>
      </c>
      <c r="C34" s="13">
        <v>0</v>
      </c>
      <c r="D34" s="13">
        <v>10956</v>
      </c>
      <c r="E34" s="13">
        <v>0</v>
      </c>
      <c r="F34" s="13">
        <v>2004</v>
      </c>
      <c r="G34" s="13">
        <v>0</v>
      </c>
      <c r="H34" s="13">
        <v>0</v>
      </c>
      <c r="I34" s="13">
        <v>694</v>
      </c>
      <c r="J34" s="13">
        <v>1427</v>
      </c>
      <c r="K34" s="13">
        <v>5442</v>
      </c>
      <c r="L34" s="13">
        <v>677</v>
      </c>
      <c r="M34" s="13">
        <v>1427</v>
      </c>
      <c r="N34" s="13">
        <v>0</v>
      </c>
      <c r="O34" s="13">
        <v>726</v>
      </c>
      <c r="P34" s="13">
        <v>23353</v>
      </c>
    </row>
    <row r="35" spans="1:16">
      <c r="A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>
      <c r="A36" s="11" t="s">
        <v>64</v>
      </c>
      <c r="B36" s="12" t="s">
        <v>65</v>
      </c>
      <c r="C36" s="13">
        <v>0</v>
      </c>
      <c r="D36" s="13">
        <v>51844.7</v>
      </c>
      <c r="E36" s="13">
        <v>35395.1</v>
      </c>
      <c r="F36" s="13">
        <v>43019.929999999993</v>
      </c>
      <c r="G36" s="13">
        <v>38526.28</v>
      </c>
      <c r="H36" s="13">
        <v>43023.77</v>
      </c>
      <c r="I36" s="13">
        <v>50523.09</v>
      </c>
      <c r="J36" s="13">
        <v>57490.2</v>
      </c>
      <c r="K36" s="13">
        <v>50163.46</v>
      </c>
      <c r="L36" s="13">
        <v>44691.7</v>
      </c>
      <c r="M36" s="13">
        <v>40400.28</v>
      </c>
      <c r="N36" s="13">
        <v>68034.039999999994</v>
      </c>
      <c r="O36" s="13">
        <v>49893.88</v>
      </c>
      <c r="P36" s="13">
        <v>573006.42999999993</v>
      </c>
    </row>
    <row r="37" spans="1:16">
      <c r="A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>
      <c r="A38" s="9" t="s">
        <v>163</v>
      </c>
      <c r="B38" t="s">
        <v>164</v>
      </c>
      <c r="C38" s="10">
        <v>0</v>
      </c>
      <c r="D38" s="10">
        <v>-4454.03</v>
      </c>
      <c r="E38" s="10">
        <v>-3202.9799999999996</v>
      </c>
      <c r="F38" s="10">
        <v>-5148.32</v>
      </c>
      <c r="G38" s="10">
        <v>-6239.2099999999991</v>
      </c>
      <c r="H38" s="10">
        <v>-7867.16</v>
      </c>
      <c r="I38" s="10">
        <v>-7751.4699999999993</v>
      </c>
      <c r="J38" s="10">
        <v>-5520.3499999999995</v>
      </c>
      <c r="K38" s="10">
        <v>-6247.36</v>
      </c>
      <c r="L38" s="10">
        <v>-6536.5099999999993</v>
      </c>
      <c r="M38" s="10">
        <v>-6602.8099999999995</v>
      </c>
      <c r="N38" s="10">
        <v>-7346.36</v>
      </c>
      <c r="O38" s="10">
        <v>-2983.3999999999996</v>
      </c>
      <c r="P38" s="10">
        <v>-69899.959999999992</v>
      </c>
    </row>
    <row r="39" spans="1:16">
      <c r="A39" s="9" t="s">
        <v>165</v>
      </c>
      <c r="B39" t="s">
        <v>166</v>
      </c>
      <c r="C39" s="10">
        <v>0</v>
      </c>
      <c r="D39" s="10">
        <v>-31770.6</v>
      </c>
      <c r="E39" s="10">
        <v>-23287</v>
      </c>
      <c r="F39" s="10">
        <v>-33147.799999999996</v>
      </c>
      <c r="G39" s="10">
        <v>-33133.799999999996</v>
      </c>
      <c r="H39" s="10">
        <v>-42043.399999999994</v>
      </c>
      <c r="I39" s="10">
        <v>-42273.799999999996</v>
      </c>
      <c r="J39" s="10">
        <v>-32170.799999999999</v>
      </c>
      <c r="K39" s="10">
        <v>-37229.399999999994</v>
      </c>
      <c r="L39" s="10">
        <v>-36477.799999999996</v>
      </c>
      <c r="M39" s="10">
        <v>-34750.199999999997</v>
      </c>
      <c r="N39" s="10">
        <v>-37871.799999999996</v>
      </c>
      <c r="O39" s="10">
        <v>-17636.8</v>
      </c>
      <c r="P39" s="10">
        <v>-401793.19999999995</v>
      </c>
    </row>
    <row r="40" spans="1:16">
      <c r="A40" s="11" t="s">
        <v>280</v>
      </c>
      <c r="B40" s="12" t="s">
        <v>281</v>
      </c>
      <c r="C40" s="13">
        <v>0</v>
      </c>
      <c r="D40" s="13">
        <v>-36224.629999999997</v>
      </c>
      <c r="E40" s="13">
        <v>-26489.98</v>
      </c>
      <c r="F40" s="13">
        <v>-38296.119999999995</v>
      </c>
      <c r="G40" s="13">
        <v>-39373.009999999995</v>
      </c>
      <c r="H40" s="13">
        <v>-49910.559999999998</v>
      </c>
      <c r="I40" s="13">
        <v>-50025.27</v>
      </c>
      <c r="J40" s="13">
        <v>-37691.149999999994</v>
      </c>
      <c r="K40" s="13">
        <v>-43476.759999999995</v>
      </c>
      <c r="L40" s="13">
        <v>-43014.31</v>
      </c>
      <c r="M40" s="13">
        <v>-41353.009999999995</v>
      </c>
      <c r="N40" s="13">
        <v>-45218.159999999996</v>
      </c>
      <c r="O40" s="13">
        <v>-20620.199999999997</v>
      </c>
      <c r="P40" s="13">
        <v>-471693.16</v>
      </c>
    </row>
    <row r="41" spans="1:16">
      <c r="A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>
      <c r="A42" s="11" t="s">
        <v>70</v>
      </c>
      <c r="B42" s="12" t="s">
        <v>71</v>
      </c>
      <c r="C42" s="13">
        <v>0</v>
      </c>
      <c r="D42" s="13">
        <v>-36224.629999999997</v>
      </c>
      <c r="E42" s="13">
        <v>-26489.98</v>
      </c>
      <c r="F42" s="13">
        <v>-38296.119999999995</v>
      </c>
      <c r="G42" s="13">
        <v>-39373.009999999995</v>
      </c>
      <c r="H42" s="13">
        <v>-49910.559999999998</v>
      </c>
      <c r="I42" s="13">
        <v>-50025.27</v>
      </c>
      <c r="J42" s="13">
        <v>-37691.149999999994</v>
      </c>
      <c r="K42" s="13">
        <v>-43476.759999999995</v>
      </c>
      <c r="L42" s="13">
        <v>-43014.31</v>
      </c>
      <c r="M42" s="13">
        <v>-41353.009999999995</v>
      </c>
      <c r="N42" s="13">
        <v>-45218.159999999996</v>
      </c>
      <c r="O42" s="13">
        <v>-20620.199999999997</v>
      </c>
      <c r="P42" s="13">
        <v>-471693.16</v>
      </c>
    </row>
    <row r="43" spans="1:16">
      <c r="A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>
      <c r="A44" s="11" t="s">
        <v>73</v>
      </c>
      <c r="B44" s="12"/>
      <c r="C44" s="13">
        <v>0</v>
      </c>
      <c r="D44" s="13">
        <v>-15620.07</v>
      </c>
      <c r="E44" s="13">
        <v>-8905.119999999999</v>
      </c>
      <c r="F44" s="13">
        <v>-4723.8099999999995</v>
      </c>
      <c r="G44" s="13">
        <v>846.7299999999999</v>
      </c>
      <c r="H44" s="13">
        <v>6886.79</v>
      </c>
      <c r="I44" s="13">
        <v>-497.82</v>
      </c>
      <c r="J44" s="13">
        <v>-19799.05</v>
      </c>
      <c r="K44" s="13">
        <v>-6686.7</v>
      </c>
      <c r="L44" s="13">
        <v>-1677.3899999999999</v>
      </c>
      <c r="M44" s="13">
        <v>952.7299999999999</v>
      </c>
      <c r="N44" s="13">
        <v>-22815.879999999997</v>
      </c>
      <c r="O44" s="13">
        <v>-29273.679999999997</v>
      </c>
      <c r="P44" s="17">
        <v>-101313.26999999999</v>
      </c>
    </row>
    <row r="45" spans="1:16">
      <c r="A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7" spans="1:16">
      <c r="A47" t="s">
        <v>282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zoomScale="70" zoomScaleNormal="70" workbookViewId="0">
      <pane ySplit="4" topLeftCell="A5" activePane="bottomLeft" state="frozen"/>
      <selection pane="bottomLeft" activeCell="O33" sqref="O33"/>
    </sheetView>
  </sheetViews>
  <sheetFormatPr defaultColWidth="8.7109375" defaultRowHeight="14.25"/>
  <cols>
    <col min="1" max="1" width="8.7109375" style="61"/>
    <col min="2" max="2" width="12.7109375" style="61" bestFit="1" customWidth="1"/>
    <col min="3" max="3" width="14.5703125" style="61" bestFit="1" customWidth="1"/>
    <col min="4" max="4" width="23" style="61" bestFit="1" customWidth="1"/>
    <col min="5" max="5" width="4.7109375" style="61" bestFit="1" customWidth="1"/>
    <col min="6" max="6" width="7.7109375" style="61" bestFit="1" customWidth="1"/>
    <col min="7" max="7" width="9" style="61" bestFit="1" customWidth="1"/>
    <col min="8" max="8" width="15.28515625" style="61" customWidth="1"/>
    <col min="9" max="9" width="13.5703125" style="61" customWidth="1"/>
    <col min="10" max="10" width="15.28515625" style="61" bestFit="1" customWidth="1"/>
    <col min="11" max="16384" width="8.7109375" style="61"/>
  </cols>
  <sheetData>
    <row r="1" spans="2:10" customFormat="1" ht="26.25">
      <c r="B1" s="144" t="s">
        <v>209</v>
      </c>
      <c r="C1" s="143"/>
    </row>
    <row r="2" spans="2:10" customFormat="1" ht="16.899999999999999" customHeight="1">
      <c r="B2" s="143"/>
      <c r="C2" s="143"/>
    </row>
    <row r="3" spans="2:10" customFormat="1" ht="16.899999999999999" customHeight="1" thickBot="1">
      <c r="B3" s="143"/>
      <c r="C3" s="143"/>
    </row>
    <row r="4" spans="2:10" ht="17.25" customHeight="1" thickBot="1">
      <c r="B4" s="94" t="s">
        <v>85</v>
      </c>
      <c r="C4" s="95" t="s">
        <v>0</v>
      </c>
      <c r="D4" s="95" t="s">
        <v>1</v>
      </c>
      <c r="E4" s="95" t="s">
        <v>2</v>
      </c>
      <c r="F4" s="95" t="s">
        <v>3</v>
      </c>
      <c r="G4" s="95" t="s">
        <v>4</v>
      </c>
      <c r="H4" s="95" t="s">
        <v>13</v>
      </c>
      <c r="I4" s="96" t="s">
        <v>2</v>
      </c>
      <c r="J4" s="97" t="s">
        <v>119</v>
      </c>
    </row>
    <row r="5" spans="2:10">
      <c r="B5" s="98">
        <v>40000238</v>
      </c>
      <c r="C5" s="99" t="s">
        <v>14</v>
      </c>
      <c r="D5" s="99" t="s">
        <v>6</v>
      </c>
      <c r="E5" s="99" t="s">
        <v>7</v>
      </c>
      <c r="F5" s="99">
        <v>60294</v>
      </c>
      <c r="G5" s="99">
        <v>83</v>
      </c>
      <c r="H5" s="100">
        <v>9458.7099999999991</v>
      </c>
      <c r="I5" s="101">
        <v>1986.33</v>
      </c>
      <c r="J5" s="102">
        <f>H5+I5</f>
        <v>11445.039999999999</v>
      </c>
    </row>
    <row r="6" spans="2:10">
      <c r="B6" s="103">
        <v>40000279</v>
      </c>
      <c r="C6" s="104" t="s">
        <v>15</v>
      </c>
      <c r="D6" s="104" t="s">
        <v>6</v>
      </c>
      <c r="E6" s="104" t="s">
        <v>7</v>
      </c>
      <c r="F6" s="104">
        <v>60294</v>
      </c>
      <c r="G6" s="104">
        <v>83</v>
      </c>
      <c r="H6" s="105">
        <v>13477.31</v>
      </c>
      <c r="I6" s="106">
        <v>2830.24</v>
      </c>
      <c r="J6" s="107">
        <f t="shared" ref="J6:J8" si="0">H6+I6</f>
        <v>16307.55</v>
      </c>
    </row>
    <row r="7" spans="2:10">
      <c r="B7" s="103">
        <v>40000294</v>
      </c>
      <c r="C7" s="104" t="s">
        <v>16</v>
      </c>
      <c r="D7" s="104" t="s">
        <v>6</v>
      </c>
      <c r="E7" s="104" t="s">
        <v>7</v>
      </c>
      <c r="F7" s="104">
        <v>60294</v>
      </c>
      <c r="G7" s="104">
        <v>83</v>
      </c>
      <c r="H7" s="105">
        <v>16245.33</v>
      </c>
      <c r="I7" s="106">
        <v>3411.52</v>
      </c>
      <c r="J7" s="107">
        <f t="shared" si="0"/>
        <v>19656.849999999999</v>
      </c>
    </row>
    <row r="8" spans="2:10" ht="15" thickBot="1">
      <c r="B8" s="108">
        <v>40000311</v>
      </c>
      <c r="C8" s="109" t="s">
        <v>17</v>
      </c>
      <c r="D8" s="109" t="s">
        <v>6</v>
      </c>
      <c r="E8" s="109" t="s">
        <v>7</v>
      </c>
      <c r="F8" s="109">
        <v>60294</v>
      </c>
      <c r="G8" s="109">
        <v>83</v>
      </c>
      <c r="H8" s="110">
        <v>13491.46</v>
      </c>
      <c r="I8" s="111">
        <v>2833.21</v>
      </c>
      <c r="J8" s="112">
        <f t="shared" si="0"/>
        <v>16324.669999999998</v>
      </c>
    </row>
    <row r="9" spans="2:10">
      <c r="B9" s="113">
        <v>41000036</v>
      </c>
      <c r="C9" s="114" t="s">
        <v>5</v>
      </c>
      <c r="D9" s="114" t="s">
        <v>6</v>
      </c>
      <c r="E9" s="114" t="s">
        <v>7</v>
      </c>
      <c r="F9" s="114">
        <v>60219</v>
      </c>
      <c r="G9" s="114">
        <v>83</v>
      </c>
      <c r="H9" s="115">
        <v>18100.82</v>
      </c>
      <c r="I9" s="116">
        <v>3801.17</v>
      </c>
      <c r="J9" s="71">
        <f>H9+I9</f>
        <v>21901.989999999998</v>
      </c>
    </row>
    <row r="10" spans="2:10">
      <c r="B10" s="117">
        <v>41000053</v>
      </c>
      <c r="C10" s="118" t="s">
        <v>8</v>
      </c>
      <c r="D10" s="118" t="s">
        <v>6</v>
      </c>
      <c r="E10" s="118" t="s">
        <v>7</v>
      </c>
      <c r="F10" s="118">
        <v>60219</v>
      </c>
      <c r="G10" s="118">
        <v>83</v>
      </c>
      <c r="H10" s="119">
        <v>22853.519999999997</v>
      </c>
      <c r="I10" s="120">
        <v>4799.24</v>
      </c>
      <c r="J10" s="77">
        <f t="shared" ref="J10:J14" si="1">H10+I10</f>
        <v>27652.759999999995</v>
      </c>
    </row>
    <row r="11" spans="2:10">
      <c r="B11" s="117">
        <v>41000073</v>
      </c>
      <c r="C11" s="118" t="s">
        <v>9</v>
      </c>
      <c r="D11" s="118" t="s">
        <v>6</v>
      </c>
      <c r="E11" s="118" t="s">
        <v>7</v>
      </c>
      <c r="F11" s="118">
        <v>60219</v>
      </c>
      <c r="G11" s="118">
        <v>83</v>
      </c>
      <c r="H11" s="119">
        <v>28746.149999999998</v>
      </c>
      <c r="I11" s="120">
        <v>6036.69</v>
      </c>
      <c r="J11" s="77">
        <f t="shared" si="1"/>
        <v>34782.839999999997</v>
      </c>
    </row>
    <row r="12" spans="2:10">
      <c r="B12" s="117">
        <v>41000096</v>
      </c>
      <c r="C12" s="118" t="s">
        <v>10</v>
      </c>
      <c r="D12" s="118" t="s">
        <v>6</v>
      </c>
      <c r="E12" s="118" t="s">
        <v>7</v>
      </c>
      <c r="F12" s="118">
        <v>60219</v>
      </c>
      <c r="G12" s="118">
        <v>83</v>
      </c>
      <c r="H12" s="119">
        <v>23636.019999999997</v>
      </c>
      <c r="I12" s="120">
        <v>4963.5600000000004</v>
      </c>
      <c r="J12" s="77">
        <f t="shared" si="1"/>
        <v>28599.579999999998</v>
      </c>
    </row>
    <row r="13" spans="2:10">
      <c r="B13" s="117">
        <v>41000116</v>
      </c>
      <c r="C13" s="118" t="s">
        <v>11</v>
      </c>
      <c r="D13" s="118" t="s">
        <v>6</v>
      </c>
      <c r="E13" s="118" t="s">
        <v>7</v>
      </c>
      <c r="F13" s="118">
        <v>60219</v>
      </c>
      <c r="G13" s="118">
        <v>83</v>
      </c>
      <c r="H13" s="119">
        <v>26142.55</v>
      </c>
      <c r="I13" s="120">
        <v>5489.94</v>
      </c>
      <c r="J13" s="77">
        <f t="shared" si="1"/>
        <v>31632.489999999998</v>
      </c>
    </row>
    <row r="14" spans="2:10">
      <c r="B14" s="117">
        <v>41000151</v>
      </c>
      <c r="C14" s="118" t="s">
        <v>12</v>
      </c>
      <c r="D14" s="118" t="s">
        <v>6</v>
      </c>
      <c r="E14" s="118" t="s">
        <v>7</v>
      </c>
      <c r="F14" s="118">
        <v>60219</v>
      </c>
      <c r="G14" s="118">
        <v>83</v>
      </c>
      <c r="H14" s="119">
        <v>30246.469999999998</v>
      </c>
      <c r="I14" s="120">
        <v>6351.76</v>
      </c>
      <c r="J14" s="77">
        <f t="shared" si="1"/>
        <v>36598.229999999996</v>
      </c>
    </row>
    <row r="15" spans="2:10">
      <c r="B15" s="121">
        <v>41000182</v>
      </c>
      <c r="C15" s="122">
        <v>44408</v>
      </c>
      <c r="D15" s="123" t="s">
        <v>6</v>
      </c>
      <c r="E15" s="123" t="s">
        <v>7</v>
      </c>
      <c r="F15" s="123">
        <v>60219</v>
      </c>
      <c r="G15" s="123">
        <v>83</v>
      </c>
      <c r="H15" s="124">
        <v>24804.67</v>
      </c>
      <c r="I15" s="125">
        <v>5208.9799999999996</v>
      </c>
      <c r="J15" s="87">
        <f t="shared" ref="J15:J17" si="2">H15+I15</f>
        <v>30013.649999999998</v>
      </c>
    </row>
    <row r="16" spans="2:10">
      <c r="B16" s="117">
        <v>41000198</v>
      </c>
      <c r="C16" s="126">
        <v>44439</v>
      </c>
      <c r="D16" s="118" t="s">
        <v>6</v>
      </c>
      <c r="E16" s="118" t="s">
        <v>7</v>
      </c>
      <c r="F16" s="118">
        <v>60219</v>
      </c>
      <c r="G16" s="118">
        <v>83</v>
      </c>
      <c r="H16" s="119">
        <v>20709.66</v>
      </c>
      <c r="I16" s="120">
        <v>4349.03</v>
      </c>
      <c r="J16" s="77">
        <f t="shared" si="2"/>
        <v>25058.69</v>
      </c>
    </row>
    <row r="17" spans="2:10">
      <c r="B17" s="127">
        <v>41000254</v>
      </c>
      <c r="C17" s="128">
        <v>44469</v>
      </c>
      <c r="D17" s="129" t="s">
        <v>6</v>
      </c>
      <c r="E17" s="129" t="s">
        <v>7</v>
      </c>
      <c r="F17" s="129">
        <v>60219</v>
      </c>
      <c r="G17" s="129">
        <v>83</v>
      </c>
      <c r="H17" s="130">
        <v>37267.199999999997</v>
      </c>
      <c r="I17" s="131">
        <v>7826.11</v>
      </c>
      <c r="J17" s="82">
        <f t="shared" si="2"/>
        <v>45093.31</v>
      </c>
    </row>
    <row r="18" spans="2:10">
      <c r="B18" s="127">
        <v>41000277</v>
      </c>
      <c r="C18" s="128">
        <v>44500</v>
      </c>
      <c r="D18" s="129" t="s">
        <v>6</v>
      </c>
      <c r="E18" s="129" t="s">
        <v>7</v>
      </c>
      <c r="F18" s="129">
        <v>60219</v>
      </c>
      <c r="G18" s="129">
        <v>83</v>
      </c>
      <c r="H18" s="130">
        <v>31080</v>
      </c>
      <c r="I18" s="131">
        <v>6526.8</v>
      </c>
      <c r="J18" s="82">
        <f t="shared" ref="J18:J19" si="3">H18+I18</f>
        <v>37606.800000000003</v>
      </c>
    </row>
    <row r="19" spans="2:10">
      <c r="B19" s="127">
        <v>41000307</v>
      </c>
      <c r="C19" s="128">
        <v>44530</v>
      </c>
      <c r="D19" s="129" t="s">
        <v>6</v>
      </c>
      <c r="E19" s="129" t="s">
        <v>7</v>
      </c>
      <c r="F19" s="129">
        <v>60219</v>
      </c>
      <c r="G19" s="129">
        <v>83</v>
      </c>
      <c r="H19" s="130">
        <v>33901</v>
      </c>
      <c r="I19" s="131">
        <v>7119.21</v>
      </c>
      <c r="J19" s="82">
        <f t="shared" si="3"/>
        <v>41020.21</v>
      </c>
    </row>
    <row r="20" spans="2:10" ht="15" thickBot="1">
      <c r="B20" s="132">
        <v>41000334</v>
      </c>
      <c r="C20" s="133">
        <v>44561</v>
      </c>
      <c r="D20" s="134" t="s">
        <v>6</v>
      </c>
      <c r="E20" s="134" t="s">
        <v>7</v>
      </c>
      <c r="F20" s="134">
        <v>60219</v>
      </c>
      <c r="G20" s="134">
        <v>83</v>
      </c>
      <c r="H20" s="135">
        <v>24913.200000000001</v>
      </c>
      <c r="I20" s="136">
        <v>5231.7700000000004</v>
      </c>
      <c r="J20" s="91">
        <f t="shared" ref="J20" si="4">H20+I20</f>
        <v>30144.97</v>
      </c>
    </row>
    <row r="21" spans="2:10">
      <c r="B21" s="98">
        <v>42000020</v>
      </c>
      <c r="C21" s="137">
        <v>44592</v>
      </c>
      <c r="D21" s="99" t="s">
        <v>6</v>
      </c>
      <c r="E21" s="99" t="s">
        <v>7</v>
      </c>
      <c r="F21" s="99">
        <v>602230</v>
      </c>
      <c r="G21" s="99">
        <v>183</v>
      </c>
      <c r="H21" s="100">
        <v>31770.6</v>
      </c>
      <c r="I21" s="101">
        <f>H21/100*21</f>
        <v>6671.8259999999991</v>
      </c>
      <c r="J21" s="102">
        <f t="shared" ref="J21" si="5">H21+I21</f>
        <v>38442.425999999999</v>
      </c>
    </row>
    <row r="22" spans="2:10">
      <c r="B22" s="103">
        <v>42000053</v>
      </c>
      <c r="C22" s="224">
        <v>44620</v>
      </c>
      <c r="D22" s="104" t="s">
        <v>6</v>
      </c>
      <c r="E22" s="104" t="s">
        <v>7</v>
      </c>
      <c r="F22" s="104">
        <v>602230</v>
      </c>
      <c r="G22" s="104">
        <v>183</v>
      </c>
      <c r="H22" s="105">
        <v>23287</v>
      </c>
      <c r="I22" s="106">
        <f>H22/100*21</f>
        <v>4890.2700000000004</v>
      </c>
      <c r="J22" s="107">
        <f t="shared" ref="J22" si="6">H22+I22</f>
        <v>28177.27</v>
      </c>
    </row>
    <row r="23" spans="2:10">
      <c r="B23" s="103">
        <v>42000079</v>
      </c>
      <c r="C23" s="224">
        <v>44651</v>
      </c>
      <c r="D23" s="104" t="s">
        <v>6</v>
      </c>
      <c r="E23" s="104" t="s">
        <v>7</v>
      </c>
      <c r="F23" s="104">
        <v>602230</v>
      </c>
      <c r="G23" s="104">
        <v>183</v>
      </c>
      <c r="H23" s="105">
        <v>33147.800000000003</v>
      </c>
      <c r="I23" s="106">
        <f t="shared" ref="I23:I24" si="7">H23/100*21</f>
        <v>6961.0380000000005</v>
      </c>
      <c r="J23" s="107">
        <f t="shared" ref="J23:J24" si="8">H23+I23</f>
        <v>40108.838000000003</v>
      </c>
    </row>
    <row r="24" spans="2:10" s="225" customFormat="1">
      <c r="B24" s="246">
        <v>42000113</v>
      </c>
      <c r="C24" s="247">
        <v>44681</v>
      </c>
      <c r="D24" s="248" t="s">
        <v>6</v>
      </c>
      <c r="E24" s="248" t="s">
        <v>7</v>
      </c>
      <c r="F24" s="248">
        <v>602230</v>
      </c>
      <c r="G24" s="248">
        <v>183</v>
      </c>
      <c r="H24" s="249">
        <v>33133.800000000003</v>
      </c>
      <c r="I24" s="250">
        <f t="shared" si="7"/>
        <v>6958.0980000000009</v>
      </c>
      <c r="J24" s="251">
        <f t="shared" si="8"/>
        <v>40091.898000000001</v>
      </c>
    </row>
    <row r="25" spans="2:10" s="225" customFormat="1">
      <c r="B25" s="252">
        <v>42000136</v>
      </c>
      <c r="C25" s="253">
        <v>44712</v>
      </c>
      <c r="D25" s="254" t="s">
        <v>6</v>
      </c>
      <c r="E25" s="254" t="s">
        <v>7</v>
      </c>
      <c r="F25" s="254">
        <v>602230</v>
      </c>
      <c r="G25" s="254">
        <v>183</v>
      </c>
      <c r="H25" s="255">
        <v>42043.4</v>
      </c>
      <c r="I25" s="256">
        <f t="shared" ref="I25:I27" si="9">H25/100*21</f>
        <v>8829.1140000000014</v>
      </c>
      <c r="J25" s="257">
        <f t="shared" ref="J25:J27" si="10">H25+I25</f>
        <v>50872.514000000003</v>
      </c>
    </row>
    <row r="26" spans="2:10" s="225" customFormat="1">
      <c r="B26" s="252">
        <v>42000178</v>
      </c>
      <c r="C26" s="253">
        <v>44742</v>
      </c>
      <c r="D26" s="254" t="s">
        <v>6</v>
      </c>
      <c r="E26" s="254" t="s">
        <v>7</v>
      </c>
      <c r="F26" s="254">
        <v>602230</v>
      </c>
      <c r="G26" s="254">
        <v>183</v>
      </c>
      <c r="H26" s="255">
        <v>42273.8</v>
      </c>
      <c r="I26" s="256">
        <f t="shared" si="9"/>
        <v>8877.4980000000014</v>
      </c>
      <c r="J26" s="257">
        <f t="shared" si="10"/>
        <v>51151.298000000003</v>
      </c>
    </row>
    <row r="27" spans="2:10" s="225" customFormat="1">
      <c r="B27" s="252">
        <v>42000223</v>
      </c>
      <c r="C27" s="253">
        <v>44773</v>
      </c>
      <c r="D27" s="254" t="s">
        <v>6</v>
      </c>
      <c r="E27" s="254" t="s">
        <v>7</v>
      </c>
      <c r="F27" s="254">
        <v>602230</v>
      </c>
      <c r="G27" s="254">
        <v>183</v>
      </c>
      <c r="H27" s="255">
        <v>32170.799999999999</v>
      </c>
      <c r="I27" s="256">
        <f t="shared" si="9"/>
        <v>6755.8679999999995</v>
      </c>
      <c r="J27" s="257">
        <f t="shared" si="10"/>
        <v>38926.667999999998</v>
      </c>
    </row>
    <row r="28" spans="2:10" s="225" customFormat="1">
      <c r="B28" s="252">
        <v>42000228</v>
      </c>
      <c r="C28" s="253">
        <v>44804</v>
      </c>
      <c r="D28" s="254" t="s">
        <v>6</v>
      </c>
      <c r="E28" s="254" t="s">
        <v>7</v>
      </c>
      <c r="F28" s="254">
        <v>602230</v>
      </c>
      <c r="G28" s="254">
        <v>183</v>
      </c>
      <c r="H28" s="255">
        <v>37229.4</v>
      </c>
      <c r="I28" s="256">
        <f t="shared" ref="I28" si="11">H28/100*21</f>
        <v>7818.1740000000009</v>
      </c>
      <c r="J28" s="257">
        <f t="shared" ref="J28" si="12">H28+I28</f>
        <v>45047.574000000001</v>
      </c>
    </row>
    <row r="29" spans="2:10" s="225" customFormat="1">
      <c r="B29" s="252">
        <v>42000268</v>
      </c>
      <c r="C29" s="253">
        <v>44834</v>
      </c>
      <c r="D29" s="254" t="s">
        <v>6</v>
      </c>
      <c r="E29" s="254" t="s">
        <v>7</v>
      </c>
      <c r="F29" s="254">
        <v>602230</v>
      </c>
      <c r="G29" s="254">
        <v>183</v>
      </c>
      <c r="H29" s="255">
        <v>36477.800000000003</v>
      </c>
      <c r="I29" s="256">
        <f t="shared" ref="I29" si="13">H29/100*21</f>
        <v>7660.3380000000006</v>
      </c>
      <c r="J29" s="257">
        <f t="shared" ref="J29" si="14">H29+I29</f>
        <v>44138.138000000006</v>
      </c>
    </row>
    <row r="30" spans="2:10" s="225" customFormat="1">
      <c r="B30" s="252">
        <v>42000321</v>
      </c>
      <c r="C30" s="253">
        <v>44865</v>
      </c>
      <c r="D30" s="254" t="s">
        <v>6</v>
      </c>
      <c r="E30" s="254" t="s">
        <v>7</v>
      </c>
      <c r="F30" s="254">
        <v>602230</v>
      </c>
      <c r="G30" s="254">
        <v>183</v>
      </c>
      <c r="H30" s="255">
        <v>34750.199999999997</v>
      </c>
      <c r="I30" s="256">
        <f t="shared" ref="I30" si="15">H30/100*21</f>
        <v>7297.5419999999995</v>
      </c>
      <c r="J30" s="257">
        <f t="shared" ref="J30" si="16">H30+I30</f>
        <v>42047.741999999998</v>
      </c>
    </row>
    <row r="31" spans="2:10" s="225" customFormat="1">
      <c r="B31" s="252">
        <v>42000359</v>
      </c>
      <c r="C31" s="253">
        <v>44895</v>
      </c>
      <c r="D31" s="254" t="s">
        <v>6</v>
      </c>
      <c r="E31" s="254" t="s">
        <v>7</v>
      </c>
      <c r="F31" s="254">
        <v>602230</v>
      </c>
      <c r="G31" s="254">
        <v>183</v>
      </c>
      <c r="H31" s="255">
        <v>37871.800000000003</v>
      </c>
      <c r="I31" s="256">
        <f t="shared" ref="I31" si="17">H31/100*21</f>
        <v>7953.0780000000004</v>
      </c>
      <c r="J31" s="257">
        <f t="shared" ref="J31" si="18">H31+I31</f>
        <v>45824.878000000004</v>
      </c>
    </row>
    <row r="32" spans="2:10" s="225" customFormat="1" ht="15" thickBot="1">
      <c r="B32" s="230">
        <v>42000378</v>
      </c>
      <c r="C32" s="231">
        <v>44926</v>
      </c>
      <c r="D32" s="232" t="s">
        <v>6</v>
      </c>
      <c r="E32" s="232" t="s">
        <v>7</v>
      </c>
      <c r="F32" s="232">
        <v>602230</v>
      </c>
      <c r="G32" s="232">
        <v>183</v>
      </c>
      <c r="H32" s="233">
        <v>17636.8</v>
      </c>
      <c r="I32" s="234">
        <f t="shared" ref="I32" si="19">H32/100*21</f>
        <v>3703.7280000000001</v>
      </c>
      <c r="J32" s="235">
        <f t="shared" ref="J32" si="20">H32+I32</f>
        <v>21340.527999999998</v>
      </c>
    </row>
    <row r="33" spans="2:12" s="67" customFormat="1" ht="15.75" thickBot="1">
      <c r="B33" s="279" t="s">
        <v>117</v>
      </c>
      <c r="C33" s="280"/>
      <c r="D33" s="280"/>
      <c r="E33" s="280"/>
      <c r="F33" s="280"/>
      <c r="G33" s="281"/>
      <c r="H33" s="138">
        <f>SUM(H5:H32)</f>
        <v>776867.27000000014</v>
      </c>
      <c r="I33" s="138">
        <f>SUM(I5:I32)</f>
        <v>163142.13200000001</v>
      </c>
      <c r="J33" s="138">
        <f>SUM(J5:J32)</f>
        <v>940009.402</v>
      </c>
      <c r="L33" s="61"/>
    </row>
    <row r="34" spans="2:12" ht="15.75" thickBot="1">
      <c r="B34" s="282" t="s">
        <v>249</v>
      </c>
      <c r="C34" s="283"/>
      <c r="D34" s="283"/>
      <c r="E34" s="283"/>
      <c r="F34" s="283"/>
      <c r="G34" s="284"/>
      <c r="H34" s="140">
        <f>J34/121*100</f>
        <v>1404958.6776859504</v>
      </c>
      <c r="I34" s="140">
        <f>J34/121*21</f>
        <v>295041.32231404958</v>
      </c>
      <c r="J34" s="141">
        <f>500000+500000+700000</f>
        <v>1700000</v>
      </c>
    </row>
    <row r="35" spans="2:12" ht="15.75" thickBot="1">
      <c r="B35" s="285" t="s">
        <v>118</v>
      </c>
      <c r="C35" s="286"/>
      <c r="D35" s="286"/>
      <c r="E35" s="286"/>
      <c r="F35" s="286"/>
      <c r="G35" s="287"/>
      <c r="H35" s="142">
        <f>J35/121*100</f>
        <v>628091.40330578515</v>
      </c>
      <c r="I35" s="142">
        <f>J35/121*21</f>
        <v>131899.19469421488</v>
      </c>
      <c r="J35" s="171">
        <f>J34-J33</f>
        <v>759990.598</v>
      </c>
    </row>
    <row r="36" spans="2:12">
      <c r="H36" s="64"/>
      <c r="I36" s="64"/>
      <c r="J36" s="64"/>
    </row>
    <row r="37" spans="2:12">
      <c r="H37" s="64"/>
      <c r="I37" s="64"/>
      <c r="J37" s="64"/>
    </row>
  </sheetData>
  <mergeCells count="3">
    <mergeCell ref="B33:G33"/>
    <mergeCell ref="B34:G34"/>
    <mergeCell ref="B35:G35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topLeftCell="A3" zoomScale="70" zoomScaleNormal="70" workbookViewId="0">
      <selection activeCell="G36" sqref="G36"/>
    </sheetView>
  </sheetViews>
  <sheetFormatPr defaultColWidth="8.7109375" defaultRowHeight="14.25"/>
  <cols>
    <col min="1" max="1" width="25.28515625" style="61" bestFit="1" customWidth="1"/>
    <col min="2" max="2" width="28.140625" style="61" bestFit="1" customWidth="1"/>
    <col min="3" max="7" width="12.7109375" style="61" customWidth="1"/>
    <col min="8" max="16384" width="8.7109375" style="61"/>
  </cols>
  <sheetData>
    <row r="1" spans="2:7" customFormat="1" ht="26.25">
      <c r="B1" s="144" t="s">
        <v>210</v>
      </c>
      <c r="C1" s="143"/>
    </row>
    <row r="3" spans="2:7" ht="15" thickBot="1"/>
    <row r="4" spans="2:7" s="67" customFormat="1" ht="15.75" thickBot="1">
      <c r="B4" s="177" t="s">
        <v>199</v>
      </c>
      <c r="C4" s="178" t="s">
        <v>78</v>
      </c>
      <c r="D4" s="179" t="s">
        <v>79</v>
      </c>
      <c r="E4" s="180" t="s">
        <v>80</v>
      </c>
      <c r="F4" s="181" t="s">
        <v>81</v>
      </c>
      <c r="G4" s="180" t="s">
        <v>82</v>
      </c>
    </row>
    <row r="5" spans="2:7">
      <c r="B5" s="68" t="s">
        <v>195</v>
      </c>
      <c r="C5" s="69">
        <v>185.89</v>
      </c>
      <c r="D5" s="70">
        <v>482.57</v>
      </c>
      <c r="E5" s="71">
        <f>SUM(C5:D5)</f>
        <v>668.46</v>
      </c>
      <c r="F5" s="72">
        <v>0</v>
      </c>
      <c r="G5" s="73">
        <f>SUM(E5:F5)</f>
        <v>668.46</v>
      </c>
    </row>
    <row r="6" spans="2:7">
      <c r="B6" s="74" t="s">
        <v>196</v>
      </c>
      <c r="C6" s="75">
        <v>278.77999999999997</v>
      </c>
      <c r="D6" s="76">
        <v>665.62</v>
      </c>
      <c r="E6" s="77">
        <f>SUM(C6:D6)</f>
        <v>944.4</v>
      </c>
      <c r="F6" s="78">
        <v>8.06</v>
      </c>
      <c r="G6" s="79">
        <f t="shared" ref="G6:G16" si="0">SUM(E6:F6)</f>
        <v>952.45999999999992</v>
      </c>
    </row>
    <row r="7" spans="2:7">
      <c r="B7" s="74" t="s">
        <v>197</v>
      </c>
      <c r="C7" s="75">
        <v>282.33999999999997</v>
      </c>
      <c r="D7" s="76">
        <v>849.15</v>
      </c>
      <c r="E7" s="77">
        <f>SUM(C7:D7)</f>
        <v>1131.49</v>
      </c>
      <c r="F7" s="78">
        <v>16.59</v>
      </c>
      <c r="G7" s="79">
        <f t="shared" si="0"/>
        <v>1148.08</v>
      </c>
    </row>
    <row r="8" spans="2:7" ht="15" thickBot="1">
      <c r="B8" s="74" t="s">
        <v>198</v>
      </c>
      <c r="C8" s="80">
        <v>260.62</v>
      </c>
      <c r="D8" s="81">
        <v>620.23</v>
      </c>
      <c r="E8" s="82">
        <f>SUM(C8:D8)</f>
        <v>880.85</v>
      </c>
      <c r="F8" s="83">
        <v>72.61</v>
      </c>
      <c r="G8" s="84">
        <f t="shared" si="0"/>
        <v>953.46</v>
      </c>
    </row>
    <row r="9" spans="2:7" s="67" customFormat="1" ht="15.75" thickBot="1">
      <c r="B9" s="182" t="s">
        <v>83</v>
      </c>
      <c r="C9" s="183">
        <f>SUM(C5:C8)</f>
        <v>1007.63</v>
      </c>
      <c r="D9" s="184">
        <f t="shared" ref="D9:G9" si="1">SUM(D5:D8)</f>
        <v>2617.5700000000002</v>
      </c>
      <c r="E9" s="141">
        <f t="shared" si="1"/>
        <v>3625.2000000000003</v>
      </c>
      <c r="F9" s="185">
        <f t="shared" si="1"/>
        <v>97.259999999999991</v>
      </c>
      <c r="G9" s="141">
        <f t="shared" si="1"/>
        <v>3722.46</v>
      </c>
    </row>
    <row r="10" spans="2:7">
      <c r="B10" s="68" t="s">
        <v>183</v>
      </c>
      <c r="C10" s="85">
        <v>349.99</v>
      </c>
      <c r="D10" s="86">
        <v>710.22</v>
      </c>
      <c r="E10" s="87">
        <f t="shared" ref="E10:E21" si="2">SUM(C10:D10)</f>
        <v>1060.21</v>
      </c>
      <c r="F10" s="88">
        <v>219</v>
      </c>
      <c r="G10" s="89">
        <f t="shared" si="0"/>
        <v>1279.21</v>
      </c>
    </row>
    <row r="11" spans="2:7">
      <c r="B11" s="74" t="s">
        <v>184</v>
      </c>
      <c r="C11" s="75">
        <v>442.44</v>
      </c>
      <c r="D11" s="76">
        <v>1038.68</v>
      </c>
      <c r="E11" s="77">
        <f t="shared" si="2"/>
        <v>1481.1200000000001</v>
      </c>
      <c r="F11" s="78">
        <v>133.97</v>
      </c>
      <c r="G11" s="79">
        <f t="shared" si="0"/>
        <v>1615.0900000000001</v>
      </c>
    </row>
    <row r="12" spans="2:7">
      <c r="B12" s="74" t="s">
        <v>185</v>
      </c>
      <c r="C12" s="75">
        <v>592.64</v>
      </c>
      <c r="D12" s="76">
        <v>1430.56</v>
      </c>
      <c r="E12" s="77">
        <f t="shared" si="2"/>
        <v>2023.1999999999998</v>
      </c>
      <c r="F12" s="78">
        <v>8.33</v>
      </c>
      <c r="G12" s="79">
        <f t="shared" si="0"/>
        <v>2031.5299999999997</v>
      </c>
    </row>
    <row r="13" spans="2:7">
      <c r="B13" s="74" t="s">
        <v>186</v>
      </c>
      <c r="C13" s="75">
        <v>482.2</v>
      </c>
      <c r="D13" s="76">
        <v>1079.8800000000001</v>
      </c>
      <c r="E13" s="77">
        <f t="shared" si="2"/>
        <v>1562.0800000000002</v>
      </c>
      <c r="F13" s="78">
        <v>108.31</v>
      </c>
      <c r="G13" s="79">
        <f t="shared" si="0"/>
        <v>1670.39</v>
      </c>
    </row>
    <row r="14" spans="2:7">
      <c r="B14" s="74" t="s">
        <v>187</v>
      </c>
      <c r="C14" s="75">
        <v>590.38</v>
      </c>
      <c r="D14" s="76">
        <v>1257.1500000000001</v>
      </c>
      <c r="E14" s="79">
        <f t="shared" si="2"/>
        <v>1847.5300000000002</v>
      </c>
      <c r="F14" s="90">
        <v>161.78</v>
      </c>
      <c r="G14" s="77">
        <f t="shared" si="0"/>
        <v>2009.3100000000002</v>
      </c>
    </row>
    <row r="15" spans="2:7">
      <c r="B15" s="74" t="s">
        <v>188</v>
      </c>
      <c r="C15" s="75">
        <v>663.02</v>
      </c>
      <c r="D15" s="76">
        <v>1474.54</v>
      </c>
      <c r="E15" s="79">
        <f t="shared" si="2"/>
        <v>2137.56</v>
      </c>
      <c r="F15" s="90">
        <v>0</v>
      </c>
      <c r="G15" s="77">
        <f t="shared" si="0"/>
        <v>2137.56</v>
      </c>
    </row>
    <row r="16" spans="2:7">
      <c r="B16" s="74" t="s">
        <v>189</v>
      </c>
      <c r="C16" s="75">
        <v>435.4</v>
      </c>
      <c r="D16" s="76">
        <v>1317.58</v>
      </c>
      <c r="E16" s="79">
        <f t="shared" si="2"/>
        <v>1752.98</v>
      </c>
      <c r="F16" s="90">
        <v>0</v>
      </c>
      <c r="G16" s="77">
        <f t="shared" si="0"/>
        <v>1752.98</v>
      </c>
    </row>
    <row r="17" spans="2:8">
      <c r="B17" s="74" t="s">
        <v>190</v>
      </c>
      <c r="C17" s="75">
        <v>405.96</v>
      </c>
      <c r="D17" s="76">
        <v>1057.6199999999999</v>
      </c>
      <c r="E17" s="79">
        <f t="shared" si="2"/>
        <v>1463.58</v>
      </c>
      <c r="F17" s="90">
        <v>107.84</v>
      </c>
      <c r="G17" s="77">
        <f>SUM(E17:F17)</f>
        <v>1571.4199999999998</v>
      </c>
    </row>
    <row r="18" spans="2:8">
      <c r="B18" s="74" t="s">
        <v>191</v>
      </c>
      <c r="C18" s="75">
        <v>634.5</v>
      </c>
      <c r="D18" s="76">
        <v>1228.8599999999999</v>
      </c>
      <c r="E18" s="79">
        <f t="shared" si="2"/>
        <v>1863.36</v>
      </c>
      <c r="F18" s="90">
        <v>0</v>
      </c>
      <c r="G18" s="77">
        <f>SUM(E18:F18)</f>
        <v>1863.36</v>
      </c>
    </row>
    <row r="19" spans="2:8">
      <c r="B19" s="74" t="s">
        <v>192</v>
      </c>
      <c r="C19" s="75">
        <v>526.92999999999995</v>
      </c>
      <c r="D19" s="76">
        <v>1027.07</v>
      </c>
      <c r="E19" s="79">
        <f t="shared" si="2"/>
        <v>1554</v>
      </c>
      <c r="F19" s="90">
        <v>0</v>
      </c>
      <c r="G19" s="77">
        <f>SUM(E19:F19)</f>
        <v>1554</v>
      </c>
      <c r="H19" s="64"/>
    </row>
    <row r="20" spans="2:8">
      <c r="B20" s="74" t="s">
        <v>193</v>
      </c>
      <c r="C20" s="75">
        <v>524.15</v>
      </c>
      <c r="D20" s="76">
        <v>1170.9000000000001</v>
      </c>
      <c r="E20" s="79">
        <f t="shared" si="2"/>
        <v>1695.0500000000002</v>
      </c>
      <c r="F20" s="90">
        <v>0</v>
      </c>
      <c r="G20" s="77">
        <f>SUM(E20:F20)</f>
        <v>1695.0500000000002</v>
      </c>
      <c r="H20" s="64"/>
    </row>
    <row r="21" spans="2:8" ht="15" thickBot="1">
      <c r="B21" s="175" t="s">
        <v>194</v>
      </c>
      <c r="C21" s="80">
        <v>392.39</v>
      </c>
      <c r="D21" s="81">
        <v>853.27</v>
      </c>
      <c r="E21" s="84">
        <f t="shared" si="2"/>
        <v>1245.6599999999999</v>
      </c>
      <c r="F21" s="176">
        <v>0</v>
      </c>
      <c r="G21" s="82">
        <f>SUM(E21:F21)</f>
        <v>1245.6599999999999</v>
      </c>
      <c r="H21" s="64"/>
    </row>
    <row r="22" spans="2:8" ht="15.75" thickBot="1">
      <c r="B22" s="182" t="s">
        <v>84</v>
      </c>
      <c r="C22" s="183">
        <f>SUM(C10:C21)</f>
        <v>6040.0000000000009</v>
      </c>
      <c r="D22" s="184">
        <f>SUM(D10:D21)</f>
        <v>13646.33</v>
      </c>
      <c r="E22" s="141">
        <f>SUM(E10:E21)</f>
        <v>19686.329999999998</v>
      </c>
      <c r="F22" s="185">
        <f>SUM(F10:F21)</f>
        <v>739.23</v>
      </c>
      <c r="G22" s="141">
        <f>SUM(G10:G21)</f>
        <v>20425.559999999998</v>
      </c>
      <c r="H22" s="64"/>
    </row>
    <row r="23" spans="2:8">
      <c r="B23" s="68" t="s">
        <v>171</v>
      </c>
      <c r="C23" s="69">
        <v>520.14</v>
      </c>
      <c r="D23" s="70">
        <v>1068.3900000000001</v>
      </c>
      <c r="E23" s="73">
        <f t="shared" ref="E23:E34" si="3">SUM(C23:D23)</f>
        <v>1588.5300000000002</v>
      </c>
      <c r="F23" s="92">
        <v>0</v>
      </c>
      <c r="G23" s="71">
        <f t="shared" ref="G23:G34" si="4">SUM(E23:F23)</f>
        <v>1588.5300000000002</v>
      </c>
    </row>
    <row r="24" spans="2:8">
      <c r="B24" s="74" t="s">
        <v>172</v>
      </c>
      <c r="C24" s="85">
        <v>360.99</v>
      </c>
      <c r="D24" s="86">
        <v>803.36</v>
      </c>
      <c r="E24" s="89">
        <f t="shared" si="3"/>
        <v>1164.3499999999999</v>
      </c>
      <c r="F24" s="93">
        <v>0</v>
      </c>
      <c r="G24" s="87">
        <f t="shared" si="4"/>
        <v>1164.3499999999999</v>
      </c>
    </row>
    <row r="25" spans="2:8">
      <c r="B25" s="74" t="s">
        <v>173</v>
      </c>
      <c r="C25" s="75">
        <v>564.35</v>
      </c>
      <c r="D25" s="76">
        <v>1093.04</v>
      </c>
      <c r="E25" s="79">
        <f t="shared" si="3"/>
        <v>1657.3899999999999</v>
      </c>
      <c r="F25" s="90">
        <v>0</v>
      </c>
      <c r="G25" s="77">
        <f t="shared" si="4"/>
        <v>1657.3899999999999</v>
      </c>
    </row>
    <row r="26" spans="2:8">
      <c r="B26" s="74" t="s">
        <v>174</v>
      </c>
      <c r="C26" s="75">
        <v>628.6</v>
      </c>
      <c r="D26" s="76">
        <v>1028.0899999999999</v>
      </c>
      <c r="E26" s="79">
        <f t="shared" si="3"/>
        <v>1656.69</v>
      </c>
      <c r="F26" s="90">
        <v>0</v>
      </c>
      <c r="G26" s="77">
        <f t="shared" si="4"/>
        <v>1656.69</v>
      </c>
    </row>
    <row r="27" spans="2:8">
      <c r="B27" s="74" t="s">
        <v>175</v>
      </c>
      <c r="C27" s="75">
        <v>838.27</v>
      </c>
      <c r="D27" s="76">
        <v>1263.9000000000001</v>
      </c>
      <c r="E27" s="79">
        <f t="shared" si="3"/>
        <v>2102.17</v>
      </c>
      <c r="F27" s="90">
        <v>0</v>
      </c>
      <c r="G27" s="77">
        <f t="shared" si="4"/>
        <v>2102.17</v>
      </c>
    </row>
    <row r="28" spans="2:8">
      <c r="B28" s="74" t="s">
        <v>176</v>
      </c>
      <c r="C28" s="75">
        <v>945.96</v>
      </c>
      <c r="D28" s="76">
        <v>1167.73</v>
      </c>
      <c r="E28" s="79">
        <f t="shared" si="3"/>
        <v>2113.69</v>
      </c>
      <c r="F28" s="90">
        <v>0</v>
      </c>
      <c r="G28" s="77">
        <f t="shared" si="4"/>
        <v>2113.69</v>
      </c>
    </row>
    <row r="29" spans="2:8">
      <c r="B29" s="74" t="s">
        <v>177</v>
      </c>
      <c r="C29" s="75">
        <v>568.9</v>
      </c>
      <c r="D29" s="76">
        <v>1039.6400000000001</v>
      </c>
      <c r="E29" s="79">
        <f t="shared" si="3"/>
        <v>1608.54</v>
      </c>
      <c r="F29" s="90">
        <v>0</v>
      </c>
      <c r="G29" s="77">
        <f t="shared" si="4"/>
        <v>1608.54</v>
      </c>
    </row>
    <row r="30" spans="2:8">
      <c r="B30" s="74" t="s">
        <v>178</v>
      </c>
      <c r="C30" s="75">
        <v>726.67</v>
      </c>
      <c r="D30" s="76">
        <v>1134.8</v>
      </c>
      <c r="E30" s="79">
        <f t="shared" si="3"/>
        <v>1861.4699999999998</v>
      </c>
      <c r="F30" s="90">
        <v>0</v>
      </c>
      <c r="G30" s="77">
        <f t="shared" si="4"/>
        <v>1861.4699999999998</v>
      </c>
    </row>
    <row r="31" spans="2:8">
      <c r="B31" s="74" t="s">
        <v>179</v>
      </c>
      <c r="C31" s="75">
        <v>736.78</v>
      </c>
      <c r="D31" s="76">
        <v>1087.1099999999999</v>
      </c>
      <c r="E31" s="79">
        <f t="shared" si="3"/>
        <v>1823.8899999999999</v>
      </c>
      <c r="F31" s="90">
        <v>0</v>
      </c>
      <c r="G31" s="77">
        <f t="shared" si="4"/>
        <v>1823.8899999999999</v>
      </c>
    </row>
    <row r="32" spans="2:8">
      <c r="B32" s="74" t="s">
        <v>180</v>
      </c>
      <c r="C32" s="75">
        <v>736.42</v>
      </c>
      <c r="D32" s="76">
        <v>1001.09</v>
      </c>
      <c r="E32" s="79">
        <f t="shared" si="3"/>
        <v>1737.51</v>
      </c>
      <c r="F32" s="90">
        <v>0</v>
      </c>
      <c r="G32" s="77">
        <f t="shared" si="4"/>
        <v>1737.51</v>
      </c>
      <c r="H32" s="64"/>
    </row>
    <row r="33" spans="2:8">
      <c r="B33" s="74" t="s">
        <v>181</v>
      </c>
      <c r="C33" s="75">
        <v>759.91</v>
      </c>
      <c r="D33" s="76">
        <v>1133.68</v>
      </c>
      <c r="E33" s="79">
        <f t="shared" si="3"/>
        <v>1893.5900000000001</v>
      </c>
      <c r="F33" s="90">
        <v>0</v>
      </c>
      <c r="G33" s="77">
        <f t="shared" si="4"/>
        <v>1893.5900000000001</v>
      </c>
      <c r="H33" s="64"/>
    </row>
    <row r="34" spans="2:8" ht="15" thickBot="1">
      <c r="B34" s="175" t="s">
        <v>182</v>
      </c>
      <c r="C34" s="80">
        <v>339.64</v>
      </c>
      <c r="D34" s="81">
        <v>542.20000000000005</v>
      </c>
      <c r="E34" s="84">
        <f t="shared" si="3"/>
        <v>881.84</v>
      </c>
      <c r="F34" s="176">
        <v>0</v>
      </c>
      <c r="G34" s="82">
        <f t="shared" si="4"/>
        <v>881.84</v>
      </c>
      <c r="H34" s="64"/>
    </row>
    <row r="35" spans="2:8" ht="15.75" thickBot="1">
      <c r="B35" s="182" t="s">
        <v>169</v>
      </c>
      <c r="C35" s="183">
        <f>SUM(C23:C34)</f>
        <v>7726.63</v>
      </c>
      <c r="D35" s="184">
        <f>SUM(D23:D34)</f>
        <v>12363.030000000002</v>
      </c>
      <c r="E35" s="141">
        <f>SUM(E23:E34)</f>
        <v>20089.66</v>
      </c>
      <c r="F35" s="185">
        <f>SUM(F23:F34)</f>
        <v>0</v>
      </c>
      <c r="G35" s="141">
        <f>SUM(G23:G34)</f>
        <v>20089.66</v>
      </c>
      <c r="H35" s="64"/>
    </row>
  </sheetData>
  <phoneticPr fontId="7" type="noConversion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8"/>
  <sheetViews>
    <sheetView zoomScale="70" zoomScaleNormal="70" workbookViewId="0">
      <selection activeCell="K34" sqref="K34"/>
    </sheetView>
  </sheetViews>
  <sheetFormatPr defaultColWidth="8.7109375" defaultRowHeight="14.25"/>
  <cols>
    <col min="1" max="1" width="8.7109375" style="61"/>
    <col min="2" max="18" width="15.42578125" style="61" customWidth="1"/>
    <col min="19" max="16384" width="8.7109375" style="61"/>
  </cols>
  <sheetData>
    <row r="1" spans="2:19" customFormat="1" ht="26.25">
      <c r="B1" s="144" t="s">
        <v>211</v>
      </c>
      <c r="C1" s="143"/>
    </row>
    <row r="2" spans="2:19" ht="15" thickBot="1"/>
    <row r="3" spans="2:19" ht="15.75" thickBot="1">
      <c r="K3" s="288" t="s">
        <v>214</v>
      </c>
      <c r="L3" s="289"/>
      <c r="M3" s="288" t="s">
        <v>215</v>
      </c>
      <c r="N3" s="289"/>
      <c r="O3" s="288" t="s">
        <v>216</v>
      </c>
      <c r="P3" s="290"/>
      <c r="Q3" s="291"/>
    </row>
    <row r="4" spans="2:19" ht="15.75" thickBot="1">
      <c r="B4" s="192" t="s">
        <v>212</v>
      </c>
      <c r="C4" s="193" t="s">
        <v>86</v>
      </c>
      <c r="D4" s="193" t="s">
        <v>87</v>
      </c>
      <c r="E4" s="193" t="s">
        <v>88</v>
      </c>
      <c r="F4" s="194" t="s">
        <v>217</v>
      </c>
      <c r="G4" s="194" t="s">
        <v>74</v>
      </c>
      <c r="H4" s="195" t="s">
        <v>218</v>
      </c>
      <c r="I4" s="196" t="s">
        <v>219</v>
      </c>
      <c r="K4" s="192" t="s">
        <v>136</v>
      </c>
      <c r="L4" s="197" t="s">
        <v>245</v>
      </c>
      <c r="M4" s="192" t="s">
        <v>246</v>
      </c>
      <c r="N4" s="197" t="s">
        <v>247</v>
      </c>
      <c r="O4" s="192" t="s">
        <v>221</v>
      </c>
      <c r="P4" s="192" t="s">
        <v>220</v>
      </c>
      <c r="Q4" s="197" t="s">
        <v>213</v>
      </c>
      <c r="R4" s="196" t="s">
        <v>204</v>
      </c>
    </row>
    <row r="5" spans="2:19">
      <c r="B5" s="62" t="s">
        <v>89</v>
      </c>
      <c r="C5" s="63">
        <v>103.1</v>
      </c>
      <c r="D5" s="58">
        <v>1559.0416767420097</v>
      </c>
      <c r="E5" s="58">
        <v>145.85489270414752</v>
      </c>
      <c r="F5" s="58">
        <v>584.64062877825359</v>
      </c>
      <c r="G5" s="63">
        <v>1287</v>
      </c>
      <c r="H5" s="186">
        <v>189.73907403726474</v>
      </c>
      <c r="I5" s="189">
        <v>774.37970281551839</v>
      </c>
      <c r="K5" s="201">
        <f>'Výsledovka 2021'!D8</f>
        <v>774.38</v>
      </c>
      <c r="L5" s="202">
        <f t="shared" ref="L5:L17" si="0">I5-K5</f>
        <v>-2.9718448161020206E-4</v>
      </c>
      <c r="M5" s="201">
        <f>Kilometry!G10</f>
        <v>1279.21</v>
      </c>
      <c r="N5" s="202">
        <f t="shared" ref="N5:N17" si="1">G5-M5</f>
        <v>7.7899999999999636</v>
      </c>
      <c r="O5" s="201">
        <f t="shared" ref="O5:O17" si="2">C5*4</f>
        <v>412.4</v>
      </c>
      <c r="P5" s="207">
        <f>'Výsledovka 2021'!D27</f>
        <v>412.84</v>
      </c>
      <c r="Q5" s="198">
        <f>O5-P5</f>
        <v>-0.43999999999999773</v>
      </c>
      <c r="R5" s="189">
        <f t="shared" ref="R5:R16" si="3">I5/C5</f>
        <v>7.5109573502960076</v>
      </c>
    </row>
    <row r="6" spans="2:19">
      <c r="B6" s="65" t="s">
        <v>90</v>
      </c>
      <c r="C6" s="28">
        <v>119.27</v>
      </c>
      <c r="D6" s="27">
        <v>1782.2481329743075</v>
      </c>
      <c r="E6" s="27">
        <v>166.63350131200929</v>
      </c>
      <c r="F6" s="27">
        <v>668.34306683507509</v>
      </c>
      <c r="G6" s="28">
        <v>1627</v>
      </c>
      <c r="H6" s="187">
        <v>230.6285402056113</v>
      </c>
      <c r="I6" s="190">
        <v>898.97160704068642</v>
      </c>
      <c r="K6" s="203">
        <f>'Výsledovka 2021'!E8</f>
        <v>898.96999999999991</v>
      </c>
      <c r="L6" s="204">
        <f t="shared" si="0"/>
        <v>1.6070406865082987E-3</v>
      </c>
      <c r="M6" s="203">
        <f>Kilometry!G11</f>
        <v>1615.0900000000001</v>
      </c>
      <c r="N6" s="204">
        <f t="shared" si="1"/>
        <v>11.909999999999854</v>
      </c>
      <c r="O6" s="203">
        <f t="shared" si="2"/>
        <v>477.08</v>
      </c>
      <c r="P6" s="208">
        <f>'Výsledovka 2021'!E27</f>
        <v>471.94</v>
      </c>
      <c r="Q6" s="199">
        <f t="shared" ref="Q6:Q15" si="4">O6-P6</f>
        <v>5.1399999999999864</v>
      </c>
      <c r="R6" s="190">
        <f t="shared" si="3"/>
        <v>7.5372818566335749</v>
      </c>
    </row>
    <row r="7" spans="2:19">
      <c r="B7" s="65" t="s">
        <v>91</v>
      </c>
      <c r="C7" s="28">
        <v>116.65</v>
      </c>
      <c r="D7" s="27">
        <v>1774.3266516847336</v>
      </c>
      <c r="E7" s="27">
        <v>166.15141103160397</v>
      </c>
      <c r="F7" s="27">
        <v>665.3724839343663</v>
      </c>
      <c r="G7" s="28">
        <v>2043</v>
      </c>
      <c r="H7" s="187">
        <v>218.63096042362108</v>
      </c>
      <c r="I7" s="190">
        <v>884.00344435798741</v>
      </c>
      <c r="K7" s="203">
        <f>'Výsledovka 2021'!F8</f>
        <v>884</v>
      </c>
      <c r="L7" s="204">
        <f t="shared" si="0"/>
        <v>3.4443579874050556E-3</v>
      </c>
      <c r="M7" s="203">
        <f>Kilometry!G12</f>
        <v>2031.5299999999997</v>
      </c>
      <c r="N7" s="204">
        <f t="shared" si="1"/>
        <v>11.470000000000255</v>
      </c>
      <c r="O7" s="203">
        <f t="shared" si="2"/>
        <v>466.6</v>
      </c>
      <c r="P7" s="208">
        <f>'Výsledovka 2021'!F27</f>
        <v>469.84</v>
      </c>
      <c r="Q7" s="199">
        <f t="shared" si="4"/>
        <v>-3.2399999999999523</v>
      </c>
      <c r="R7" s="190">
        <f t="shared" si="3"/>
        <v>7.5782549880667585</v>
      </c>
    </row>
    <row r="8" spans="2:19">
      <c r="B8" s="65" t="s">
        <v>92</v>
      </c>
      <c r="C8" s="28">
        <v>102.85</v>
      </c>
      <c r="D8" s="27">
        <v>1557.52509605202</v>
      </c>
      <c r="E8" s="27">
        <v>145.84713878236479</v>
      </c>
      <c r="F8" s="27">
        <v>584.07192029377563</v>
      </c>
      <c r="G8" s="28">
        <v>1681</v>
      </c>
      <c r="H8" s="187">
        <v>193.30831663333879</v>
      </c>
      <c r="I8" s="190">
        <v>777.38023692711442</v>
      </c>
      <c r="K8" s="203">
        <f>'Výsledovka 2021'!G8</f>
        <v>777.38</v>
      </c>
      <c r="L8" s="204">
        <f t="shared" si="0"/>
        <v>2.3692711442890868E-4</v>
      </c>
      <c r="M8" s="203">
        <f>Kilometry!G13</f>
        <v>1670.39</v>
      </c>
      <c r="N8" s="204">
        <f t="shared" si="1"/>
        <v>10.6099999999999</v>
      </c>
      <c r="O8" s="203">
        <f t="shared" si="2"/>
        <v>411.4</v>
      </c>
      <c r="P8" s="208">
        <f>'Výsledovka 2021'!G27</f>
        <v>412.42999999999995</v>
      </c>
      <c r="Q8" s="199">
        <f t="shared" si="4"/>
        <v>-1.0299999999999727</v>
      </c>
      <c r="R8" s="190">
        <f t="shared" si="3"/>
        <v>7.5583883026457412</v>
      </c>
    </row>
    <row r="9" spans="2:19">
      <c r="B9" s="65" t="s">
        <v>93</v>
      </c>
      <c r="C9" s="28">
        <v>115.01</v>
      </c>
      <c r="D9" s="27">
        <v>1742.0367103686576</v>
      </c>
      <c r="E9" s="27">
        <v>163.14191357482704</v>
      </c>
      <c r="F9" s="27">
        <v>653.26376164287979</v>
      </c>
      <c r="G9" s="28">
        <v>2022</v>
      </c>
      <c r="H9" s="187">
        <v>219.11611519626453</v>
      </c>
      <c r="I9" s="190">
        <v>872.37987683914434</v>
      </c>
      <c r="K9" s="203">
        <f>'Výsledovka 2021'!H8</f>
        <v>872.38</v>
      </c>
      <c r="L9" s="204">
        <f t="shared" si="0"/>
        <v>-1.2316085565089452E-4</v>
      </c>
      <c r="M9" s="203">
        <f>Kilometry!G14</f>
        <v>2009.3100000000002</v>
      </c>
      <c r="N9" s="204">
        <f t="shared" si="1"/>
        <v>12.689999999999827</v>
      </c>
      <c r="O9" s="203">
        <f t="shared" si="2"/>
        <v>460.04</v>
      </c>
      <c r="P9" s="208">
        <f>'Výsledovka 2021'!H27</f>
        <v>461.29999999999995</v>
      </c>
      <c r="Q9" s="199">
        <f t="shared" si="4"/>
        <v>-1.2599999999999341</v>
      </c>
      <c r="R9" s="190">
        <f t="shared" si="3"/>
        <v>7.5852523853503548</v>
      </c>
    </row>
    <row r="10" spans="2:19">
      <c r="B10" s="65" t="s">
        <v>120</v>
      </c>
      <c r="C10" s="28">
        <v>133.97999999999999</v>
      </c>
      <c r="D10" s="27">
        <v>2015.0028316604573</v>
      </c>
      <c r="E10" s="27">
        <v>188.57537389173996</v>
      </c>
      <c r="F10" s="27">
        <v>755.62605457026586</v>
      </c>
      <c r="G10" s="28">
        <v>2150</v>
      </c>
      <c r="H10" s="187">
        <v>238.86314637208116</v>
      </c>
      <c r="I10" s="190">
        <v>994.489200942347</v>
      </c>
      <c r="K10" s="203">
        <f>'Výsledovka 2021'!I8</f>
        <v>994.4899999999999</v>
      </c>
      <c r="L10" s="204">
        <f t="shared" si="0"/>
        <v>-7.9905765289822739E-4</v>
      </c>
      <c r="M10" s="203">
        <f>Kilometry!G15</f>
        <v>2137.56</v>
      </c>
      <c r="N10" s="204">
        <f t="shared" si="1"/>
        <v>12.440000000000055</v>
      </c>
      <c r="O10" s="203">
        <f t="shared" si="2"/>
        <v>535.91999999999996</v>
      </c>
      <c r="P10" s="208">
        <f>'Výsledovka 2021'!I27</f>
        <v>533.56999999999994</v>
      </c>
      <c r="Q10" s="199">
        <f t="shared" si="4"/>
        <v>2.3500000000000227</v>
      </c>
      <c r="R10" s="190">
        <f t="shared" si="3"/>
        <v>7.4226690621163387</v>
      </c>
    </row>
    <row r="11" spans="2:19">
      <c r="B11" s="65" t="s">
        <v>133</v>
      </c>
      <c r="C11" s="28">
        <v>114.64</v>
      </c>
      <c r="D11" s="27">
        <v>1732.1140567682332</v>
      </c>
      <c r="E11" s="27">
        <v>162.09750984489011</v>
      </c>
      <c r="F11" s="27">
        <v>1072.1785972464857</v>
      </c>
      <c r="G11" s="28">
        <v>1763</v>
      </c>
      <c r="H11" s="187">
        <v>228.98692983930613</v>
      </c>
      <c r="I11" s="190">
        <v>1301.1655270857918</v>
      </c>
      <c r="K11" s="203">
        <f>'Výsledovka 2021'!J8</f>
        <v>1301.1699999999998</v>
      </c>
      <c r="L11" s="204">
        <f t="shared" si="0"/>
        <v>-4.4729142080086604E-3</v>
      </c>
      <c r="M11" s="203">
        <f>Kilometry!G16</f>
        <v>1752.98</v>
      </c>
      <c r="N11" s="204">
        <f t="shared" si="1"/>
        <v>10.019999999999982</v>
      </c>
      <c r="O11" s="203">
        <f t="shared" si="2"/>
        <v>458.56</v>
      </c>
      <c r="P11" s="208">
        <f>'Výsledovka 2021'!J27</f>
        <v>458.65</v>
      </c>
      <c r="Q11" s="199">
        <f t="shared" si="4"/>
        <v>-8.9999999999974989E-2</v>
      </c>
      <c r="R11" s="210">
        <f t="shared" si="3"/>
        <v>11.350013320706488</v>
      </c>
      <c r="S11" s="61" t="s">
        <v>222</v>
      </c>
    </row>
    <row r="12" spans="2:19">
      <c r="B12" s="65" t="s">
        <v>134</v>
      </c>
      <c r="C12" s="28">
        <v>95.95</v>
      </c>
      <c r="D12" s="27">
        <v>1459.2568117125204</v>
      </c>
      <c r="E12" s="27">
        <v>136.6433164919064</v>
      </c>
      <c r="F12" s="27">
        <v>903.27995969319079</v>
      </c>
      <c r="G12" s="28">
        <v>1582</v>
      </c>
      <c r="H12" s="187">
        <v>165.05848000457377</v>
      </c>
      <c r="I12" s="190">
        <v>1068.3384396977644</v>
      </c>
      <c r="K12" s="203">
        <f>'Výsledovka 2021'!K8</f>
        <v>1068.3399999999999</v>
      </c>
      <c r="L12" s="204">
        <f t="shared" si="0"/>
        <v>-1.5603022354753193E-3</v>
      </c>
      <c r="M12" s="203">
        <f>Kilometry!G17</f>
        <v>1571.4199999999998</v>
      </c>
      <c r="N12" s="204">
        <f t="shared" si="1"/>
        <v>10.580000000000155</v>
      </c>
      <c r="O12" s="203">
        <f t="shared" si="2"/>
        <v>383.8</v>
      </c>
      <c r="P12" s="208">
        <f>'Výsledovka 2021'!K27</f>
        <v>386.41999999999996</v>
      </c>
      <c r="Q12" s="199">
        <f t="shared" si="4"/>
        <v>-2.6199999999999477</v>
      </c>
      <c r="R12" s="190">
        <f t="shared" si="3"/>
        <v>11.134324540883423</v>
      </c>
    </row>
    <row r="13" spans="2:19">
      <c r="B13" s="65" t="s">
        <v>135</v>
      </c>
      <c r="C13" s="28">
        <v>112.76</v>
      </c>
      <c r="D13" s="27">
        <v>1709.0546071560311</v>
      </c>
      <c r="E13" s="27">
        <v>160.16082626337146</v>
      </c>
      <c r="F13" s="27">
        <v>1057.9048026558467</v>
      </c>
      <c r="G13" s="28">
        <v>1863.36</v>
      </c>
      <c r="H13" s="187">
        <v>216.07026189597934</v>
      </c>
      <c r="I13" s="190">
        <v>1273.9750645518261</v>
      </c>
      <c r="K13" s="203">
        <f>'Výsledovka 2021'!L8</f>
        <v>1273.9799999999998</v>
      </c>
      <c r="L13" s="204">
        <f t="shared" si="0"/>
        <v>-4.9354481736827438E-3</v>
      </c>
      <c r="M13" s="203">
        <f>Kilometry!G18</f>
        <v>1863.36</v>
      </c>
      <c r="N13" s="204">
        <f t="shared" si="1"/>
        <v>0</v>
      </c>
      <c r="O13" s="203">
        <f t="shared" si="2"/>
        <v>451.04</v>
      </c>
      <c r="P13" s="208">
        <f>'Výsledovka 2021'!L27</f>
        <v>452.55999999999995</v>
      </c>
      <c r="Q13" s="199">
        <f t="shared" si="4"/>
        <v>-1.519999999999925</v>
      </c>
      <c r="R13" s="190">
        <f t="shared" si="3"/>
        <v>11.298111604751917</v>
      </c>
    </row>
    <row r="14" spans="2:19">
      <c r="B14" s="65" t="s">
        <v>145</v>
      </c>
      <c r="C14" s="28">
        <v>99.44</v>
      </c>
      <c r="D14" s="27">
        <v>1503.999879156516</v>
      </c>
      <c r="E14" s="27">
        <v>140.65580879979149</v>
      </c>
      <c r="F14" s="27">
        <v>930.97591969814516</v>
      </c>
      <c r="G14" s="28">
        <v>1554</v>
      </c>
      <c r="H14" s="187">
        <v>209.60041547305013</v>
      </c>
      <c r="I14" s="190">
        <v>1140.5763351711953</v>
      </c>
      <c r="K14" s="203">
        <f>'Výsledovka 2021'!M8</f>
        <v>1140.58</v>
      </c>
      <c r="L14" s="204">
        <f t="shared" si="0"/>
        <v>-3.6648288046308153E-3</v>
      </c>
      <c r="M14" s="203">
        <f>Kilometry!G19</f>
        <v>1554</v>
      </c>
      <c r="N14" s="204">
        <f t="shared" si="1"/>
        <v>0</v>
      </c>
      <c r="O14" s="203">
        <f t="shared" si="2"/>
        <v>397.76</v>
      </c>
      <c r="P14" s="208">
        <f>'Výsledovka 2021'!M27</f>
        <v>398.26</v>
      </c>
      <c r="Q14" s="199">
        <f t="shared" si="4"/>
        <v>-0.5</v>
      </c>
      <c r="R14" s="190">
        <f t="shared" si="3"/>
        <v>11.469995325534949</v>
      </c>
    </row>
    <row r="15" spans="2:19">
      <c r="B15" s="65" t="s">
        <v>147</v>
      </c>
      <c r="C15" s="28">
        <v>89.71</v>
      </c>
      <c r="D15" s="27">
        <v>1362.2838710964031</v>
      </c>
      <c r="E15" s="27">
        <v>127.5412044146432</v>
      </c>
      <c r="F15" s="27">
        <v>843.2537129938562</v>
      </c>
      <c r="G15" s="28">
        <v>1695.05</v>
      </c>
      <c r="H15" s="187">
        <v>361.81073494028897</v>
      </c>
      <c r="I15" s="190">
        <v>1205.0644479341452</v>
      </c>
      <c r="K15" s="203">
        <f>'Výsledovka 2021'!N8</f>
        <v>1205.06</v>
      </c>
      <c r="L15" s="204">
        <f t="shared" si="0"/>
        <v>4.4479341452188237E-3</v>
      </c>
      <c r="M15" s="203">
        <f>Kilometry!G20</f>
        <v>1695.0500000000002</v>
      </c>
      <c r="N15" s="204">
        <f t="shared" si="1"/>
        <v>0</v>
      </c>
      <c r="O15" s="203">
        <f t="shared" si="2"/>
        <v>358.84</v>
      </c>
      <c r="P15" s="208">
        <f>'Výsledovka 2021'!N27</f>
        <v>360.72999999999996</v>
      </c>
      <c r="Q15" s="199">
        <f t="shared" si="4"/>
        <v>-1.8899999999999864</v>
      </c>
      <c r="R15" s="190">
        <f t="shared" si="3"/>
        <v>13.432888729619275</v>
      </c>
    </row>
    <row r="16" spans="2:19" ht="15" thickBot="1">
      <c r="B16" s="66" t="s">
        <v>155</v>
      </c>
      <c r="C16" s="59">
        <v>78.83</v>
      </c>
      <c r="D16" s="60">
        <v>1196.0211024663245</v>
      </c>
      <c r="E16" s="60">
        <v>112.00574347055014</v>
      </c>
      <c r="F16" s="60">
        <v>740.33705913087476</v>
      </c>
      <c r="G16" s="59">
        <v>1245.6600000000001</v>
      </c>
      <c r="H16" s="188">
        <v>219.66633628027969</v>
      </c>
      <c r="I16" s="191">
        <v>960.00339541115443</v>
      </c>
      <c r="K16" s="205">
        <f>'Výsledovka 2021'!O8</f>
        <v>960</v>
      </c>
      <c r="L16" s="206">
        <f t="shared" si="0"/>
        <v>3.3954111544289844E-3</v>
      </c>
      <c r="M16" s="205">
        <f>Kilometry!G21</f>
        <v>1245.6599999999999</v>
      </c>
      <c r="N16" s="206">
        <f t="shared" si="1"/>
        <v>0</v>
      </c>
      <c r="O16" s="205">
        <f t="shared" si="2"/>
        <v>315.32</v>
      </c>
      <c r="P16" s="209">
        <f>'Výsledovka 2021'!O27</f>
        <v>316.70999999999998</v>
      </c>
      <c r="Q16" s="200">
        <f t="shared" ref="Q16" si="5">O16-P16</f>
        <v>-1.3899999999999864</v>
      </c>
      <c r="R16" s="191">
        <f t="shared" si="3"/>
        <v>12.178147855019084</v>
      </c>
    </row>
    <row r="17" spans="2:19">
      <c r="B17" s="62" t="s">
        <v>170</v>
      </c>
      <c r="C17" s="63">
        <v>100.1</v>
      </c>
      <c r="D17" s="58">
        <v>1529.785973293036</v>
      </c>
      <c r="E17" s="58">
        <v>143.41746316426915</v>
      </c>
      <c r="F17" s="58">
        <v>2212.4682671895434</v>
      </c>
      <c r="G17" s="63">
        <v>1588.34</v>
      </c>
      <c r="H17" s="186">
        <v>452.88941810345074</v>
      </c>
      <c r="I17" s="189">
        <v>2665.3576852929941</v>
      </c>
      <c r="K17" s="201">
        <f>'Výsledovka 2022'!D6</f>
        <v>2665.3599999999997</v>
      </c>
      <c r="L17" s="202">
        <f t="shared" si="0"/>
        <v>-2.3147070055529184E-3</v>
      </c>
      <c r="M17" s="201">
        <f>Kilometry!G23</f>
        <v>1588.5300000000002</v>
      </c>
      <c r="N17" s="202">
        <f t="shared" si="1"/>
        <v>-0.19000000000028194</v>
      </c>
      <c r="O17" s="201">
        <f t="shared" si="2"/>
        <v>400.4</v>
      </c>
      <c r="P17" s="207">
        <f>'Výsledovka 2022'!D12</f>
        <v>405.09</v>
      </c>
      <c r="Q17" s="198">
        <f t="shared" ref="Q17:Q22" si="6">O17-P17</f>
        <v>-4.6899999999999977</v>
      </c>
      <c r="R17" s="215">
        <f>I17/C17</f>
        <v>26.626949903026915</v>
      </c>
      <c r="S17" s="61" t="s">
        <v>200</v>
      </c>
    </row>
    <row r="18" spans="2:19">
      <c r="B18" s="65" t="s">
        <v>223</v>
      </c>
      <c r="C18" s="28">
        <v>68.239999999999995</v>
      </c>
      <c r="D18" s="27">
        <v>1038.0161815369488</v>
      </c>
      <c r="E18" s="27">
        <v>97.144951784182624</v>
      </c>
      <c r="F18" s="27">
        <v>1501.2412811231575</v>
      </c>
      <c r="G18" s="28">
        <v>1164.32</v>
      </c>
      <c r="H18" s="187">
        <v>458.97737838500643</v>
      </c>
      <c r="I18" s="190">
        <v>1960.2186595081639</v>
      </c>
      <c r="K18" s="203">
        <f>'Výsledovka 2022'!E6</f>
        <v>1960.2199999999998</v>
      </c>
      <c r="L18" s="204">
        <f t="shared" ref="L18" si="7">I18-K18</f>
        <v>-1.3404918358901341E-3</v>
      </c>
      <c r="M18" s="203">
        <f>Kilometry!G24</f>
        <v>1164.3499999999999</v>
      </c>
      <c r="N18" s="204">
        <f t="shared" ref="N18" si="8">G18-M18</f>
        <v>-2.9999999999972715E-2</v>
      </c>
      <c r="O18" s="203">
        <f t="shared" ref="O18" si="9">C18*4</f>
        <v>272.95999999999998</v>
      </c>
      <c r="P18" s="208">
        <f>'Výsledovka 2022'!E12</f>
        <v>274.86999999999995</v>
      </c>
      <c r="Q18" s="199">
        <f t="shared" si="6"/>
        <v>-1.9099999999999682</v>
      </c>
      <c r="R18" s="190">
        <f t="shared" ref="R18" si="10">I18/C18</f>
        <v>28.725361364422099</v>
      </c>
    </row>
    <row r="19" spans="2:19">
      <c r="B19" s="65" t="s">
        <v>237</v>
      </c>
      <c r="C19" s="28">
        <v>101.59</v>
      </c>
      <c r="D19" s="27">
        <v>1542.3973885806786</v>
      </c>
      <c r="E19" s="27">
        <v>144.45205318567429</v>
      </c>
      <c r="F19" s="27">
        <v>2230.7076459565619</v>
      </c>
      <c r="G19" s="28">
        <v>1659.25</v>
      </c>
      <c r="H19" s="187">
        <v>358.07519895733697</v>
      </c>
      <c r="I19" s="190">
        <v>2588.7828449138988</v>
      </c>
      <c r="K19" s="203">
        <f>'Výsledovka 2022'!F6</f>
        <v>2588.7799999999997</v>
      </c>
      <c r="L19" s="204">
        <f t="shared" ref="L19:L20" si="11">I19-K19</f>
        <v>2.8449138990254141E-3</v>
      </c>
      <c r="M19" s="203">
        <f>Kilometry!G25</f>
        <v>1657.3899999999999</v>
      </c>
      <c r="N19" s="204">
        <f>G19-M19</f>
        <v>1.8600000000001273</v>
      </c>
      <c r="O19" s="203">
        <f t="shared" ref="O19:O20" si="12">C19*4</f>
        <v>406.36</v>
      </c>
      <c r="P19" s="208">
        <f>'Výsledovka 2022'!F12</f>
        <v>408.42999999999995</v>
      </c>
      <c r="Q19" s="199">
        <f t="shared" si="6"/>
        <v>-2.0699999999999363</v>
      </c>
      <c r="R19" s="190">
        <f t="shared" ref="R19:R20" si="13">I19/C19</f>
        <v>25.482654246617763</v>
      </c>
    </row>
    <row r="20" spans="2:19" s="241" customFormat="1">
      <c r="B20" s="263" t="s">
        <v>238</v>
      </c>
      <c r="C20" s="264">
        <v>98.72</v>
      </c>
      <c r="D20" s="265">
        <v>1495.4985281688989</v>
      </c>
      <c r="E20" s="265">
        <v>139.94990969761133</v>
      </c>
      <c r="F20" s="265">
        <v>2907.1444520527434</v>
      </c>
      <c r="G20" s="264">
        <v>1657.62</v>
      </c>
      <c r="H20" s="266">
        <v>180.43056275090711</v>
      </c>
      <c r="I20" s="267">
        <v>3087.5750148036504</v>
      </c>
      <c r="K20" s="272">
        <f>'Výsledovka 2022'!G6</f>
        <v>3087.58</v>
      </c>
      <c r="L20" s="273">
        <f t="shared" si="11"/>
        <v>-4.9851963494802476E-3</v>
      </c>
      <c r="M20" s="272">
        <f>Kilometry!G26</f>
        <v>1656.69</v>
      </c>
      <c r="N20" s="273">
        <f t="shared" ref="N20" si="14">G20-M20</f>
        <v>0.92999999999983629</v>
      </c>
      <c r="O20" s="272">
        <f t="shared" si="12"/>
        <v>394.88</v>
      </c>
      <c r="P20" s="274">
        <f>'Výsledovka 2022'!G12</f>
        <v>396.01</v>
      </c>
      <c r="Q20" s="275">
        <f t="shared" si="6"/>
        <v>-1.1299999999999955</v>
      </c>
      <c r="R20" s="267">
        <f t="shared" si="13"/>
        <v>31.276084023537788</v>
      </c>
    </row>
    <row r="21" spans="2:19">
      <c r="B21" s="258" t="s">
        <v>239</v>
      </c>
      <c r="C21" s="259">
        <v>133.83000000000001</v>
      </c>
      <c r="D21" s="260">
        <v>2031.1097582691239</v>
      </c>
      <c r="E21" s="260">
        <v>190.07728246946823</v>
      </c>
      <c r="F21" s="260">
        <v>3721.7445854767311</v>
      </c>
      <c r="G21" s="259">
        <v>2102.09</v>
      </c>
      <c r="H21" s="261">
        <v>225.31786790758252</v>
      </c>
      <c r="I21" s="262">
        <v>3947.0624533843138</v>
      </c>
      <c r="K21" s="268">
        <f>'Výsledovka 2022'!H6</f>
        <v>3947.06</v>
      </c>
      <c r="L21" s="269">
        <f t="shared" ref="L21:L22" si="15">I21-K21</f>
        <v>2.4533843138669909E-3</v>
      </c>
      <c r="M21" s="268">
        <f>Kilometry!G27</f>
        <v>2102.17</v>
      </c>
      <c r="N21" s="269">
        <f>G21-M21</f>
        <v>-7.999999999992724E-2</v>
      </c>
      <c r="O21" s="268">
        <f>C21*4</f>
        <v>535.32000000000005</v>
      </c>
      <c r="P21" s="270">
        <f>'Výsledovka 2022'!H12</f>
        <v>537.83999999999992</v>
      </c>
      <c r="Q21" s="271">
        <f t="shared" si="6"/>
        <v>-2.5199999999998681</v>
      </c>
      <c r="R21" s="262">
        <f t="shared" ref="R21:R22" si="16">I21/C21</f>
        <v>29.493106578377894</v>
      </c>
    </row>
    <row r="22" spans="2:19" s="241" customFormat="1">
      <c r="B22" s="263" t="s">
        <v>240</v>
      </c>
      <c r="C22" s="264">
        <v>132.09</v>
      </c>
      <c r="D22" s="265">
        <v>2002.4253908183682</v>
      </c>
      <c r="E22" s="265">
        <v>187.41492099364689</v>
      </c>
      <c r="F22" s="265">
        <v>3976.9369667938931</v>
      </c>
      <c r="G22" s="264">
        <v>2113.5700000000002</v>
      </c>
      <c r="H22" s="266">
        <v>251.46368841343258</v>
      </c>
      <c r="I22" s="267">
        <v>4228.4006552073261</v>
      </c>
      <c r="K22" s="272">
        <f>'Výsledovka 2022'!I6</f>
        <v>4228.3999999999996</v>
      </c>
      <c r="L22" s="273">
        <f t="shared" si="15"/>
        <v>6.5520732641743962E-4</v>
      </c>
      <c r="M22" s="272">
        <f>Kilometry!G28</f>
        <v>2113.69</v>
      </c>
      <c r="N22" s="273">
        <f t="shared" ref="N22" si="17">G22-M22</f>
        <v>-0.11999999999989086</v>
      </c>
      <c r="O22" s="272">
        <f t="shared" ref="O22" si="18">C22*4</f>
        <v>528.36</v>
      </c>
      <c r="P22" s="274">
        <f>'Výsledovka 2022'!I12</f>
        <v>530.25</v>
      </c>
      <c r="Q22" s="275">
        <f t="shared" si="6"/>
        <v>-1.8899999999999864</v>
      </c>
      <c r="R22" s="267">
        <f t="shared" si="16"/>
        <v>32.011512265934783</v>
      </c>
    </row>
    <row r="23" spans="2:19" s="241" customFormat="1">
      <c r="B23" s="263" t="s">
        <v>241</v>
      </c>
      <c r="C23" s="264">
        <v>105.76</v>
      </c>
      <c r="D23" s="265">
        <v>1577.924036916681</v>
      </c>
      <c r="E23" s="265">
        <v>146.33674611269953</v>
      </c>
      <c r="F23" s="265">
        <v>2282.0884145925675</v>
      </c>
      <c r="G23" s="264">
        <v>1608.88</v>
      </c>
      <c r="H23" s="266">
        <v>187.90269850544129</v>
      </c>
      <c r="I23" s="267">
        <v>2469.9911130980086</v>
      </c>
      <c r="K23" s="272">
        <f>'Výsledovka 2022'!J6</f>
        <v>2469.9899999999998</v>
      </c>
      <c r="L23" s="273">
        <f t="shared" ref="L23" si="19">I23-K23</f>
        <v>1.1130980087727949E-3</v>
      </c>
      <c r="M23" s="272">
        <f>Kilometry!E29</f>
        <v>1608.54</v>
      </c>
      <c r="N23" s="273">
        <f t="shared" ref="N23:N28" si="20">G23-M23</f>
        <v>0.34000000000014552</v>
      </c>
      <c r="O23" s="272">
        <f t="shared" ref="O23" si="21">C23*4</f>
        <v>423.04</v>
      </c>
      <c r="P23" s="274">
        <f>'Výsledovka 2022'!J12</f>
        <v>417.83</v>
      </c>
      <c r="Q23" s="275">
        <f t="shared" ref="Q23:Q28" si="22">O23-P23</f>
        <v>5.2100000000000364</v>
      </c>
      <c r="R23" s="267">
        <f t="shared" ref="R23:R28" si="23">I23/C23</f>
        <v>23.354681477855603</v>
      </c>
    </row>
    <row r="24" spans="2:19" s="241" customFormat="1">
      <c r="B24" s="263" t="s">
        <v>242</v>
      </c>
      <c r="C24" s="264">
        <v>105.49</v>
      </c>
      <c r="D24" s="265">
        <v>1583.0666053315456</v>
      </c>
      <c r="E24" s="265">
        <v>147.34309769239331</v>
      </c>
      <c r="F24" s="265">
        <v>5105.9597109696333</v>
      </c>
      <c r="G24" s="264">
        <v>1861.41</v>
      </c>
      <c r="H24" s="266">
        <v>196.8975140434944</v>
      </c>
      <c r="I24" s="267">
        <v>5302.8572250131274</v>
      </c>
      <c r="K24" s="272">
        <f>'Výsledovka 2022'!K6</f>
        <v>5302.86</v>
      </c>
      <c r="L24" s="273">
        <f t="shared" ref="L24" si="24">I24-K24</f>
        <v>-2.7749868722821702E-3</v>
      </c>
      <c r="M24" s="272">
        <f>Kilometry!E30</f>
        <v>1861.4699999999998</v>
      </c>
      <c r="N24" s="273">
        <f t="shared" si="20"/>
        <v>-5.9999999999718057E-2</v>
      </c>
      <c r="O24" s="272">
        <f t="shared" ref="O24" si="25">C24*4</f>
        <v>421.96</v>
      </c>
      <c r="P24" s="274">
        <f>'Výsledovka 2022'!K12</f>
        <v>419.2</v>
      </c>
      <c r="Q24" s="275">
        <f t="shared" si="22"/>
        <v>2.7599999999999909</v>
      </c>
      <c r="R24" s="276">
        <f t="shared" si="23"/>
        <v>50.268814342716162</v>
      </c>
      <c r="S24" s="241" t="s">
        <v>243</v>
      </c>
    </row>
    <row r="25" spans="2:19" s="241" customFormat="1">
      <c r="B25" s="263" t="s">
        <v>244</v>
      </c>
      <c r="C25" s="264">
        <v>115.75</v>
      </c>
      <c r="D25" s="265">
        <v>1714.6937946672813</v>
      </c>
      <c r="E25" s="265">
        <v>157.47280445863441</v>
      </c>
      <c r="F25" s="265">
        <v>4818.6324994347178</v>
      </c>
      <c r="G25" s="264">
        <v>1824.1</v>
      </c>
      <c r="H25" s="266">
        <v>224.77337997013422</v>
      </c>
      <c r="I25" s="267">
        <v>5043.4058794048524</v>
      </c>
      <c r="K25" s="272">
        <f>'Výsledovka 2022'!L6</f>
        <v>5043.41</v>
      </c>
      <c r="L25" s="273">
        <f t="shared" ref="L25" si="26">I25-K25</f>
        <v>-4.1205951474694302E-3</v>
      </c>
      <c r="M25" s="272">
        <f>Kilometry!E31</f>
        <v>1823.8899999999999</v>
      </c>
      <c r="N25" s="273">
        <f t="shared" si="20"/>
        <v>0.21000000000003638</v>
      </c>
      <c r="O25" s="272">
        <f t="shared" ref="O25" si="27">C25*4</f>
        <v>463</v>
      </c>
      <c r="P25" s="274">
        <f>'Výsledovka 2022'!L12</f>
        <v>454.04999999999995</v>
      </c>
      <c r="Q25" s="275">
        <f t="shared" si="22"/>
        <v>8.9500000000000455</v>
      </c>
      <c r="R25" s="267">
        <f t="shared" si="23"/>
        <v>43.571541074771943</v>
      </c>
    </row>
    <row r="26" spans="2:19" s="241" customFormat="1">
      <c r="B26" s="263" t="s">
        <v>248</v>
      </c>
      <c r="C26" s="264">
        <v>107.29</v>
      </c>
      <c r="D26" s="265">
        <v>1555.5554563538767</v>
      </c>
      <c r="E26" s="265">
        <v>141.85508370375425</v>
      </c>
      <c r="F26" s="265">
        <v>2665.4442777143695</v>
      </c>
      <c r="G26" s="264">
        <v>1738.58</v>
      </c>
      <c r="H26" s="266">
        <v>199.68067032781784</v>
      </c>
      <c r="I26" s="267">
        <v>2865.1249480421875</v>
      </c>
      <c r="K26" s="272">
        <f>'Výsledovka 2022'!M6</f>
        <v>2865.12</v>
      </c>
      <c r="L26" s="273">
        <f t="shared" ref="L26" si="28">I26-K26</f>
        <v>4.9480421876069158E-3</v>
      </c>
      <c r="M26" s="272">
        <f>Kilometry!E32</f>
        <v>1737.51</v>
      </c>
      <c r="N26" s="273">
        <f t="shared" si="20"/>
        <v>1.0699999999999363</v>
      </c>
      <c r="O26" s="272">
        <f t="shared" ref="O26" si="29">C26*4</f>
        <v>429.16</v>
      </c>
      <c r="P26" s="274">
        <f>'Výsledovka 2022'!M12</f>
        <v>411.90999999999997</v>
      </c>
      <c r="Q26" s="275">
        <f t="shared" si="22"/>
        <v>17.250000000000057</v>
      </c>
      <c r="R26" s="267">
        <f t="shared" si="23"/>
        <v>26.704492012696313</v>
      </c>
    </row>
    <row r="27" spans="2:19" s="241" customFormat="1">
      <c r="B27" s="263" t="s">
        <v>250</v>
      </c>
      <c r="C27" s="264">
        <v>113.9</v>
      </c>
      <c r="D27" s="265">
        <v>1667.7280959559916</v>
      </c>
      <c r="E27" s="265">
        <v>152.96263923081241</v>
      </c>
      <c r="F27" s="265">
        <v>3139.931752042854</v>
      </c>
      <c r="G27" s="264">
        <v>1893.55</v>
      </c>
      <c r="H27" s="266">
        <v>233.75853147077453</v>
      </c>
      <c r="I27" s="267">
        <v>3373.6902835136284</v>
      </c>
      <c r="K27" s="272">
        <f>'Výsledovka 2022'!N6</f>
        <v>3373.6899999999996</v>
      </c>
      <c r="L27" s="273">
        <f t="shared" ref="L27" si="30">I27-K27</f>
        <v>2.8351362880130182E-4</v>
      </c>
      <c r="M27" s="272">
        <f>Kilometry!E33</f>
        <v>1893.5900000000001</v>
      </c>
      <c r="N27" s="273">
        <f t="shared" si="20"/>
        <v>-4.0000000000190994E-2</v>
      </c>
      <c r="O27" s="272">
        <f t="shared" ref="O27" si="31">C27*4</f>
        <v>455.6</v>
      </c>
      <c r="P27" s="274">
        <f>'Výsledovka 2022'!N12</f>
        <v>441.60999999999996</v>
      </c>
      <c r="Q27" s="275">
        <f t="shared" si="22"/>
        <v>13.990000000000066</v>
      </c>
      <c r="R27" s="267">
        <f t="shared" si="23"/>
        <v>29.619756659469957</v>
      </c>
    </row>
    <row r="28" spans="2:19" s="241" customFormat="1" ht="15" thickBot="1">
      <c r="B28" s="236" t="s">
        <v>284</v>
      </c>
      <c r="C28" s="237">
        <v>64.8</v>
      </c>
      <c r="D28" s="238">
        <v>951.99587117366343</v>
      </c>
      <c r="E28" s="238">
        <v>87.974602038286335</v>
      </c>
      <c r="F28" s="238">
        <v>1970.9741734610125</v>
      </c>
      <c r="G28" s="237">
        <v>882.15</v>
      </c>
      <c r="H28" s="239">
        <v>209.33464355373945</v>
      </c>
      <c r="I28" s="240">
        <v>2180.3088170147521</v>
      </c>
      <c r="K28" s="243">
        <f>'Výsledovka 2022'!O6</f>
        <v>2180.31</v>
      </c>
      <c r="L28" s="242">
        <f t="shared" ref="L28" si="32">I28-K28</f>
        <v>-1.1829852478513203E-3</v>
      </c>
      <c r="M28" s="243">
        <f>Kilometry!E34</f>
        <v>881.84</v>
      </c>
      <c r="N28" s="242">
        <f t="shared" si="20"/>
        <v>0.30999999999994543</v>
      </c>
      <c r="O28" s="243">
        <f t="shared" ref="O28" si="33">C28*4</f>
        <v>259.2</v>
      </c>
      <c r="P28" s="245">
        <f>'Výsledovka 2022'!O12</f>
        <v>252.08999999999997</v>
      </c>
      <c r="Q28" s="244">
        <f t="shared" si="22"/>
        <v>7.1100000000000136</v>
      </c>
      <c r="R28" s="240">
        <f t="shared" si="23"/>
        <v>33.646741003314077</v>
      </c>
    </row>
  </sheetData>
  <mergeCells count="3">
    <mergeCell ref="K3:L3"/>
    <mergeCell ref="M3:N3"/>
    <mergeCell ref="O3:Q3"/>
  </mergeCells>
  <phoneticPr fontId="7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Výsledovka 2020</vt:lpstr>
      <vt:lpstr>Výsledovka 2021</vt:lpstr>
      <vt:lpstr>Výsledovka 2022</vt:lpstr>
      <vt:lpstr>Magis 2022</vt:lpstr>
      <vt:lpstr>Fakturace </vt:lpstr>
      <vt:lpstr>Kilometry</vt:lpstr>
      <vt:lpstr>CNG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 Ševčíková</dc:creator>
  <cp:lastModifiedBy>Hlávková Andrea</cp:lastModifiedBy>
  <cp:lastPrinted>2021-10-28T07:00:46Z</cp:lastPrinted>
  <dcterms:created xsi:type="dcterms:W3CDTF">2021-07-21T10:01:32Z</dcterms:created>
  <dcterms:modified xsi:type="dcterms:W3CDTF">2023-03-01T06:57:02Z</dcterms:modified>
</cp:coreProperties>
</file>