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630" yWindow="630" windowWidth="27495" windowHeight="14190"/>
  </bookViews>
  <sheets>
    <sheet name="Plán čerpání dotace 042017" sheetId="5" r:id="rId1"/>
    <sheet name="Rozpočet celkem" sheetId="4" state="hidden" r:id="rId2"/>
    <sheet name="Export dle let" sheetId="3" state="hidden" r:id="rId3"/>
  </sheets>
  <calcPr calcId="145621"/>
</workbook>
</file>

<file path=xl/calcChain.xml><?xml version="1.0" encoding="utf-8"?>
<calcChain xmlns="http://schemas.openxmlformats.org/spreadsheetml/2006/main">
  <c r="D37" i="5" l="1"/>
  <c r="D20" i="5"/>
  <c r="D28" i="5"/>
  <c r="O18" i="5" l="1"/>
  <c r="N18" i="5"/>
  <c r="M18" i="5"/>
  <c r="B10" i="5"/>
  <c r="D10" i="5"/>
  <c r="B13" i="5"/>
  <c r="D18" i="5"/>
  <c r="B18" i="5"/>
  <c r="P13" i="5" l="1"/>
  <c r="P15" i="5"/>
  <c r="Q15" i="5"/>
  <c r="R13" i="5"/>
  <c r="P14" i="5"/>
  <c r="D32" i="5"/>
  <c r="D35" i="5"/>
  <c r="D33" i="5"/>
  <c r="B14" i="5"/>
  <c r="K14" i="5"/>
  <c r="D9" i="4" l="1"/>
  <c r="D43" i="4"/>
  <c r="D34" i="4"/>
  <c r="D42" i="4"/>
  <c r="R15" i="5" l="1"/>
  <c r="B12" i="5"/>
  <c r="D19" i="5"/>
  <c r="D23" i="5"/>
  <c r="D24" i="5"/>
  <c r="D22" i="5"/>
  <c r="C24" i="5"/>
  <c r="C23" i="5"/>
  <c r="C22" i="5"/>
  <c r="D31" i="5"/>
  <c r="D21" i="5"/>
  <c r="C19" i="5"/>
  <c r="C18" i="5"/>
  <c r="C17" i="5" s="1"/>
  <c r="B17" i="5"/>
  <c r="D15" i="5"/>
  <c r="E13" i="5"/>
  <c r="E12" i="5" s="1"/>
  <c r="E11" i="5" s="1"/>
  <c r="E10" i="5" s="1"/>
  <c r="D17" i="5" l="1"/>
  <c r="Q13" i="5"/>
  <c r="J34" i="5"/>
  <c r="D14" i="5"/>
  <c r="R14" i="5" s="1"/>
  <c r="C12" i="5"/>
  <c r="D37" i="4"/>
  <c r="R26" i="5" l="1"/>
  <c r="M35" i="5"/>
  <c r="D13" i="5"/>
  <c r="D12" i="5"/>
  <c r="B11" i="5"/>
  <c r="D12" i="4"/>
  <c r="B12" i="4"/>
  <c r="D26" i="4"/>
  <c r="M34" i="4"/>
  <c r="B13" i="4"/>
  <c r="D32" i="4" s="1"/>
  <c r="D31" i="4"/>
  <c r="D30" i="4"/>
  <c r="D24" i="4"/>
  <c r="D23" i="4"/>
  <c r="D21" i="4" s="1"/>
  <c r="D20" i="4" s="1"/>
  <c r="D22" i="4"/>
  <c r="D18" i="4"/>
  <c r="D17" i="4"/>
  <c r="D16" i="4"/>
  <c r="D14" i="4"/>
  <c r="D11" i="5" l="1"/>
  <c r="C10" i="5"/>
  <c r="C11" i="5"/>
  <c r="D13" i="4"/>
  <c r="B11" i="4"/>
  <c r="D11" i="4" s="1"/>
  <c r="J31" i="4"/>
  <c r="B20" i="4"/>
  <c r="B21" i="4"/>
  <c r="C22" i="4"/>
  <c r="C21" i="4" s="1"/>
  <c r="C20" i="4" s="1"/>
  <c r="D29" i="4"/>
  <c r="C18" i="4"/>
  <c r="C17" i="4"/>
  <c r="C16" i="4"/>
  <c r="E12" i="4"/>
  <c r="E11" i="4" s="1"/>
  <c r="E10" i="4" s="1"/>
  <c r="E9" i="4" s="1"/>
  <c r="C11" i="4" l="1"/>
  <c r="M32" i="4"/>
  <c r="M33" i="4"/>
  <c r="B10" i="4"/>
  <c r="B39" i="3"/>
  <c r="B9" i="4" l="1"/>
  <c r="C9" i="4" s="1"/>
  <c r="D10" i="4"/>
  <c r="C10" i="4"/>
  <c r="M54" i="3"/>
  <c r="G55" i="3"/>
  <c r="G56" i="3"/>
  <c r="G53" i="3"/>
  <c r="B47" i="3"/>
  <c r="B46" i="3"/>
  <c r="H40" i="3"/>
  <c r="H39" i="3"/>
  <c r="H38" i="3" s="1"/>
  <c r="H37" i="3" s="1"/>
  <c r="D39" i="3"/>
  <c r="B38" i="3"/>
  <c r="D38" i="3"/>
  <c r="B20" i="3"/>
  <c r="B19" i="3" s="1"/>
  <c r="G26" i="3"/>
  <c r="D12" i="3"/>
  <c r="D11" i="3" s="1"/>
  <c r="D10" i="3" s="1"/>
  <c r="G38" i="3" l="1"/>
  <c r="G51" i="3" s="1"/>
  <c r="B37" i="3"/>
  <c r="D37" i="3"/>
  <c r="G39" i="3"/>
  <c r="G54" i="3"/>
  <c r="G27" i="3"/>
  <c r="B22" i="3"/>
  <c r="H13" i="3"/>
  <c r="H12" i="3" s="1"/>
  <c r="G37" i="3" l="1"/>
  <c r="G28" i="3"/>
  <c r="M27" i="3" s="1"/>
  <c r="H11" i="3"/>
  <c r="H10" i="3" s="1"/>
  <c r="B12" i="3"/>
  <c r="G12" i="3" s="1"/>
  <c r="B11" i="3" l="1"/>
  <c r="B10" i="3" l="1"/>
  <c r="G10" i="3" s="1"/>
  <c r="G11" i="3"/>
  <c r="G24" i="3" s="1"/>
</calcChain>
</file>

<file path=xl/comments1.xml><?xml version="1.0" encoding="utf-8"?>
<comments xmlns="http://schemas.openxmlformats.org/spreadsheetml/2006/main">
  <authors>
    <author>Heisigová Martina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38"/>
          </rPr>
          <t>Heisigová Martina:</t>
        </r>
        <r>
          <rPr>
            <sz val="9"/>
            <color indexed="81"/>
            <rFont val="Tahoma"/>
            <family val="2"/>
            <charset val="238"/>
          </rPr>
          <t xml:space="preserve">
10 let před registrací žádosti</t>
        </r>
      </text>
    </comment>
    <comment ref="B34" authorId="0">
      <text>
        <r>
          <rPr>
            <b/>
            <sz val="9"/>
            <color indexed="81"/>
            <rFont val="Tahoma"/>
            <family val="2"/>
            <charset val="238"/>
          </rPr>
          <t>Heisigová Martina:</t>
        </r>
        <r>
          <rPr>
            <sz val="9"/>
            <color indexed="81"/>
            <rFont val="Tahoma"/>
            <family val="2"/>
            <charset val="238"/>
          </rPr>
          <t xml:space="preserve">
10 let před registrací žádosti</t>
        </r>
      </text>
    </comment>
  </commentList>
</comments>
</file>

<file path=xl/sharedStrings.xml><?xml version="1.0" encoding="utf-8"?>
<sst xmlns="http://schemas.openxmlformats.org/spreadsheetml/2006/main" count="168" uniqueCount="72">
  <si>
    <t>Název</t>
  </si>
  <si>
    <t>Částka za 1.rok</t>
  </si>
  <si>
    <t>Částka za 2.rok</t>
  </si>
  <si>
    <t>Částka za 3.rok</t>
  </si>
  <si>
    <t>Částka za 4.rok</t>
  </si>
  <si>
    <t>Částka za 5.rok</t>
  </si>
  <si>
    <t>Částka celkem</t>
  </si>
  <si>
    <t>Procento</t>
  </si>
  <si>
    <t>Potomek</t>
  </si>
  <si>
    <t>Úroveň</t>
  </si>
  <si>
    <t>Celkové výdaje</t>
  </si>
  <si>
    <t>Celkové způsobilé výdaje</t>
  </si>
  <si>
    <t>Celkové způsobilé výdaje - investiční</t>
  </si>
  <si>
    <t>Stavební práce</t>
  </si>
  <si>
    <t>Nákup pozemků</t>
  </si>
  <si>
    <t>Stavby</t>
  </si>
  <si>
    <t>Demolice</t>
  </si>
  <si>
    <t>Celkové nezpůsobilé výdaje</t>
  </si>
  <si>
    <t>Celkové nezpůsobilé výdaje - investiční</t>
  </si>
  <si>
    <t>PŘEDPOKLÁDANÝ ROZPOČET PROJEKTU</t>
  </si>
  <si>
    <t>před 2017</t>
  </si>
  <si>
    <t>Zdroj</t>
  </si>
  <si>
    <t>Územní studie 12/2016</t>
  </si>
  <si>
    <t>ceny jsou uvedeny bez DPH</t>
  </si>
  <si>
    <t>Max. dotace dle Kč/ m2</t>
  </si>
  <si>
    <t>Max. dotace 75% z celkových způsobilých výdajů na výstavbu</t>
  </si>
  <si>
    <t>Výstavba Průmyslové zóny Vávrovice 1. etapa - plocha 5 a 6</t>
  </si>
  <si>
    <t>Projektová dokumentace DÚR, DSP</t>
  </si>
  <si>
    <t>Posuzování vlivu na ŽP</t>
  </si>
  <si>
    <t>Územní studie proveditelnosti průmyslová zóna Jaktař, Vávrovice</t>
  </si>
  <si>
    <t>Možná dotace na stavební práce 75% z CZV</t>
  </si>
  <si>
    <t>Max. možný 100% výdaj dle podmínek dotace (odhad)</t>
  </si>
  <si>
    <t>Smlouva o dílo - dotace z MSK 500.000,00</t>
  </si>
  <si>
    <t>odhad 5% z realizačních nákladů</t>
  </si>
  <si>
    <t>VARIANTA 1</t>
  </si>
  <si>
    <t>VARIANTA 2</t>
  </si>
  <si>
    <t>Možná dotace na výkupy pozemků 75%</t>
  </si>
  <si>
    <t>Možná dotace na PD 75%</t>
  </si>
  <si>
    <t>cash flow v letech je pouze orientační</t>
  </si>
  <si>
    <t>ceny jsou uvedeny s DPH 21%</t>
  </si>
  <si>
    <t>Částka bez DPH</t>
  </si>
  <si>
    <t xml:space="preserve">DPH </t>
  </si>
  <si>
    <t>CELKEM</t>
  </si>
  <si>
    <t>Projektová dokumentace DÚR</t>
  </si>
  <si>
    <t>Projektová dokumentace DSP</t>
  </si>
  <si>
    <t>odhad z realizačních nákladů</t>
  </si>
  <si>
    <t>Prováděcí projektová dokumentace</t>
  </si>
  <si>
    <t>Možná dotace na PD</t>
  </si>
  <si>
    <t>DPH bude uplatňováno u FÚ:</t>
  </si>
  <si>
    <t xml:space="preserve"> = 324.910m2 x 500 Kč</t>
  </si>
  <si>
    <t>Smlouva o dílo - dotace z MSK 500.000,00; FA MMOPP00FWFKY</t>
  </si>
  <si>
    <t>DPH 21%</t>
  </si>
  <si>
    <t>DPH 21% ze všech výdajů projektu</t>
  </si>
  <si>
    <t>Výstavba Průmyslové zóny Vávrovice I. etapa - plocha 5 a 6</t>
  </si>
  <si>
    <t>Nákup pozemků za období 2005 - 2012</t>
  </si>
  <si>
    <t>Výkupy pozemků realizovavé v letech 2005 - 2012 (odbor majetku)</t>
  </si>
  <si>
    <t>Dodatečná podmínka</t>
  </si>
  <si>
    <t>Výkupy pozemků realizované v roce 2016 (14.710.920,00); poměr výkupu v letech před 2013 (13.305.056,60) a předpokládaná cena budoucích výkupů( 38.866.240); (odbor majetku)</t>
  </si>
  <si>
    <t>Kontrola</t>
  </si>
  <si>
    <t>Fyzická realizace: 09/2019 - 12/2020</t>
  </si>
  <si>
    <t>14 měsíců</t>
  </si>
  <si>
    <t>Žádost o dotaci: nejdříve v roce 2018</t>
  </si>
  <si>
    <t>DPH 21% ze způsobilých výdajů</t>
  </si>
  <si>
    <t>DPH bude uplatňováno u FÚ stavba</t>
  </si>
  <si>
    <t>Výkupy pozemků realizované v roce 2016 (14.710.920,00); výkup pozemků v roce 2017 (5.122.210,00 + 2.500.000,00 + 11.000.000,00) poměr výkupu v letech 2009-2012 (11.136.414,5) a předpokládaná cena budoucích výkupů 2018 (11.000.000,00); (odbor majetku)</t>
  </si>
  <si>
    <t>Nákup pozemků za období 2005 - 2008</t>
  </si>
  <si>
    <t>dotační rezerva</t>
  </si>
  <si>
    <t>Smlouva o dílo MMOPP00GGMAA - požádano o dotaci 1 mil. Kč z MSK 05/2017</t>
  </si>
  <si>
    <t>Projektová dokumentace DÚR vč. EIA</t>
  </si>
  <si>
    <t>Plán čerpání dotace na výstavbu MPO</t>
  </si>
  <si>
    <t>Plán/ skutečnost čerpání dotace MSK</t>
  </si>
  <si>
    <t>Průmyslové zóay Vávrovice  - plocha 5 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</si>
</sst>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.00\ &quot;Kč&quot;"/>
  </numFmts>
  <fonts count="14" x14ac:knownFonts="1">
    <font>
      <sz val="10"/>
      <name val="Arial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Arial"/>
      <family val="2"/>
      <charset val="238"/>
    </font>
    <font>
      <b/>
      <sz val="20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10"/>
      <color rgb="FF9C0006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theme="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7CE"/>
      </patternFill>
    </fill>
    <fill>
      <patternFill patternType="solid">
        <fgColor rgb="FF7030A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</borders>
  <cellStyleXfs count="2">
    <xf numFmtId="0" fontId="0" fillId="0" borderId="0"/>
    <xf numFmtId="0" fontId="10" fillId="7" borderId="0" applyNumberFormat="0" applyBorder="0" applyAlignment="0" applyProtection="0"/>
  </cellStyleXfs>
  <cellXfs count="66">
    <xf numFmtId="0" fontId="0" fillId="0" borderId="0" xfId="0"/>
    <xf numFmtId="0" fontId="1" fillId="0" borderId="1" xfId="0" applyFont="1" applyBorder="1"/>
    <xf numFmtId="0" fontId="2" fillId="0" borderId="0" xfId="0" applyFont="1"/>
    <xf numFmtId="0" fontId="4" fillId="0" borderId="0" xfId="0" applyFont="1"/>
    <xf numFmtId="0" fontId="2" fillId="2" borderId="0" xfId="0" applyFont="1" applyFill="1"/>
    <xf numFmtId="0" fontId="5" fillId="5" borderId="0" xfId="0" applyFont="1" applyFill="1"/>
    <xf numFmtId="0" fontId="2" fillId="6" borderId="0" xfId="0" applyFont="1" applyFill="1"/>
    <xf numFmtId="164" fontId="3" fillId="4" borderId="0" xfId="0" applyNumberFormat="1" applyFont="1" applyFill="1"/>
    <xf numFmtId="164" fontId="5" fillId="3" borderId="0" xfId="0" applyNumberFormat="1" applyFont="1" applyFill="1"/>
    <xf numFmtId="164" fontId="2" fillId="2" borderId="0" xfId="0" applyNumberFormat="1" applyFont="1" applyFill="1"/>
    <xf numFmtId="164" fontId="2" fillId="0" borderId="0" xfId="0" applyNumberFormat="1" applyFont="1"/>
    <xf numFmtId="164" fontId="0" fillId="0" borderId="0" xfId="0" applyNumberFormat="1"/>
    <xf numFmtId="164" fontId="5" fillId="5" borderId="0" xfId="0" applyNumberFormat="1" applyFont="1" applyFill="1"/>
    <xf numFmtId="164" fontId="2" fillId="6" borderId="0" xfId="0" applyNumberFormat="1" applyFont="1" applyFill="1"/>
    <xf numFmtId="0" fontId="0" fillId="0" borderId="0" xfId="0" applyAlignment="1">
      <alignment horizontal="center"/>
    </xf>
    <xf numFmtId="0" fontId="4" fillId="0" borderId="0" xfId="0" applyFont="1" applyFill="1"/>
    <xf numFmtId="164" fontId="2" fillId="2" borderId="2" xfId="0" applyNumberFormat="1" applyFont="1" applyFill="1" applyBorder="1"/>
    <xf numFmtId="164" fontId="2" fillId="0" borderId="2" xfId="0" applyNumberFormat="1" applyFont="1" applyBorder="1"/>
    <xf numFmtId="0" fontId="2" fillId="4" borderId="0" xfId="0" applyFont="1" applyFill="1"/>
    <xf numFmtId="164" fontId="2" fillId="4" borderId="0" xfId="0" applyNumberFormat="1" applyFont="1" applyFill="1"/>
    <xf numFmtId="164" fontId="2" fillId="4" borderId="2" xfId="0" applyNumberFormat="1" applyFont="1" applyFill="1" applyBorder="1"/>
    <xf numFmtId="0" fontId="2" fillId="3" borderId="0" xfId="0" applyFont="1" applyFill="1"/>
    <xf numFmtId="164" fontId="2" fillId="3" borderId="0" xfId="0" applyNumberFormat="1" applyFont="1" applyFill="1"/>
    <xf numFmtId="164" fontId="2" fillId="3" borderId="2" xfId="0" applyNumberFormat="1" applyFont="1" applyFill="1" applyBorder="1"/>
    <xf numFmtId="164" fontId="4" fillId="0" borderId="0" xfId="0" applyNumberFormat="1" applyFont="1"/>
    <xf numFmtId="164" fontId="4" fillId="0" borderId="2" xfId="0" applyNumberFormat="1" applyFont="1" applyBorder="1"/>
    <xf numFmtId="0" fontId="2" fillId="5" borderId="0" xfId="0" applyFont="1" applyFill="1"/>
    <xf numFmtId="164" fontId="2" fillId="5" borderId="0" xfId="0" applyNumberFormat="1" applyFont="1" applyFill="1"/>
    <xf numFmtId="164" fontId="2" fillId="5" borderId="2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7" fontId="0" fillId="0" borderId="0" xfId="0" applyNumberFormat="1"/>
    <xf numFmtId="7" fontId="4" fillId="0" borderId="0" xfId="0" applyNumberFormat="1" applyFont="1"/>
    <xf numFmtId="7" fontId="4" fillId="0" borderId="2" xfId="0" applyNumberFormat="1" applyFont="1" applyBorder="1"/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164" fontId="5" fillId="0" borderId="6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/>
    <xf numFmtId="0" fontId="8" fillId="0" borderId="0" xfId="0" applyFont="1"/>
    <xf numFmtId="0" fontId="9" fillId="0" borderId="0" xfId="0" applyFont="1"/>
    <xf numFmtId="164" fontId="1" fillId="0" borderId="0" xfId="0" applyNumberFormat="1" applyFont="1"/>
    <xf numFmtId="164" fontId="10" fillId="7" borderId="0" xfId="1" applyNumberFormat="1" applyAlignment="1">
      <alignment horizontal="left"/>
    </xf>
    <xf numFmtId="164" fontId="11" fillId="7" borderId="7" xfId="1" applyNumberFormat="1" applyFont="1" applyBorder="1"/>
    <xf numFmtId="0" fontId="1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10" fillId="7" borderId="0" xfId="1" applyNumberFormat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/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/>
    <xf numFmtId="0" fontId="1" fillId="0" borderId="9" xfId="0" applyFont="1" applyBorder="1" applyAlignment="1">
      <alignment horizontal="center"/>
    </xf>
    <xf numFmtId="164" fontId="0" fillId="0" borderId="8" xfId="0" applyNumberFormat="1" applyBorder="1"/>
    <xf numFmtId="0" fontId="2" fillId="3" borderId="8" xfId="0" applyFont="1" applyFill="1" applyBorder="1"/>
    <xf numFmtId="0" fontId="2" fillId="2" borderId="8" xfId="0" applyFont="1" applyFill="1" applyBorder="1"/>
    <xf numFmtId="164" fontId="2" fillId="5" borderId="8" xfId="0" applyNumberFormat="1" applyFont="1" applyFill="1" applyBorder="1"/>
    <xf numFmtId="164" fontId="2" fillId="6" borderId="8" xfId="0" applyNumberFormat="1" applyFont="1" applyFill="1" applyBorder="1"/>
    <xf numFmtId="164" fontId="1" fillId="4" borderId="7" xfId="0" applyNumberFormat="1" applyFont="1" applyFill="1" applyBorder="1"/>
    <xf numFmtId="164" fontId="13" fillId="8" borderId="7" xfId="0" applyNumberFormat="1" applyFont="1" applyFill="1" applyBorder="1"/>
    <xf numFmtId="0" fontId="1" fillId="4" borderId="7" xfId="0" applyFont="1" applyFill="1" applyBorder="1" applyAlignment="1">
      <alignment horizontal="center"/>
    </xf>
    <xf numFmtId="0" fontId="13" fillId="8" borderId="0" xfId="0" applyFont="1" applyFill="1" applyAlignment="1">
      <alignment horizontal="center"/>
    </xf>
    <xf numFmtId="0" fontId="13" fillId="8" borderId="2" xfId="0" applyFont="1" applyFill="1" applyBorder="1" applyAlignment="1">
      <alignment horizontal="center"/>
    </xf>
  </cellXfs>
  <cellStyles count="2">
    <cellStyle name="Chybně" xfId="1" builtinId="27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32</xdr:row>
      <xdr:rowOff>57150</xdr:rowOff>
    </xdr:from>
    <xdr:to>
      <xdr:col>7</xdr:col>
      <xdr:colOff>74294</xdr:colOff>
      <xdr:row>34</xdr:row>
      <xdr:rowOff>152400</xdr:rowOff>
    </xdr:to>
    <xdr:sp macro="" textlink="">
      <xdr:nvSpPr>
        <xdr:cNvPr id="2" name="Pravá složená závorka 1"/>
        <xdr:cNvSpPr/>
      </xdr:nvSpPr>
      <xdr:spPr>
        <a:xfrm>
          <a:off x="7096125" y="5467350"/>
          <a:ext cx="45719" cy="4191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29</xdr:row>
      <xdr:rowOff>57150</xdr:rowOff>
    </xdr:from>
    <xdr:to>
      <xdr:col>7</xdr:col>
      <xdr:colOff>74294</xdr:colOff>
      <xdr:row>31</xdr:row>
      <xdr:rowOff>152400</xdr:rowOff>
    </xdr:to>
    <xdr:sp macro="" textlink="">
      <xdr:nvSpPr>
        <xdr:cNvPr id="2" name="Pravá složená závorka 1"/>
        <xdr:cNvSpPr/>
      </xdr:nvSpPr>
      <xdr:spPr>
        <a:xfrm>
          <a:off x="7096125" y="4953000"/>
          <a:ext cx="45719" cy="4191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showGridLines="0" tabSelected="1" workbookViewId="0">
      <selection activeCell="J40" sqref="J40"/>
    </sheetView>
  </sheetViews>
  <sheetFormatPr defaultRowHeight="12.75" x14ac:dyDescent="0.2"/>
  <cols>
    <col min="1" max="1" width="63.7109375" customWidth="1"/>
    <col min="2" max="2" width="17" customWidth="1"/>
    <col min="3" max="3" width="17" hidden="1" customWidth="1"/>
    <col min="4" max="4" width="25.28515625" customWidth="1"/>
    <col min="5" max="5" width="15" hidden="1" customWidth="1"/>
    <col min="6" max="6" width="23" hidden="1" customWidth="1"/>
    <col min="7" max="7" width="15" hidden="1" customWidth="1"/>
    <col min="8" max="8" width="5.140625" customWidth="1"/>
    <col min="9" max="9" width="3.140625" customWidth="1"/>
    <col min="10" max="10" width="38.140625" customWidth="1"/>
    <col min="11" max="11" width="17.5703125" customWidth="1"/>
    <col min="12" max="12" width="13" customWidth="1"/>
    <col min="13" max="13" width="16.5703125" customWidth="1"/>
    <col min="14" max="15" width="19.42578125" customWidth="1"/>
    <col min="16" max="16" width="18.140625" customWidth="1"/>
    <col min="17" max="17" width="15.7109375" bestFit="1" customWidth="1"/>
    <col min="18" max="18" width="16.7109375" bestFit="1" customWidth="1"/>
    <col min="19" max="248" width="15" customWidth="1"/>
  </cols>
  <sheetData>
    <row r="1" spans="1:18" ht="26.25" x14ac:dyDescent="0.4">
      <c r="A1" s="42" t="s">
        <v>19</v>
      </c>
    </row>
    <row r="2" spans="1:18" x14ac:dyDescent="0.2">
      <c r="A2" s="34" t="s">
        <v>71</v>
      </c>
      <c r="P2" s="11"/>
    </row>
    <row r="3" spans="1:18" x14ac:dyDescent="0.2">
      <c r="A3" s="3" t="s">
        <v>39</v>
      </c>
    </row>
    <row r="4" spans="1:18" x14ac:dyDescent="0.2">
      <c r="A4" s="34"/>
    </row>
    <row r="5" spans="1:18" x14ac:dyDescent="0.2">
      <c r="A5" s="34" t="s">
        <v>61</v>
      </c>
    </row>
    <row r="6" spans="1:18" x14ac:dyDescent="0.2">
      <c r="A6" s="41" t="s">
        <v>59</v>
      </c>
      <c r="B6" s="11"/>
    </row>
    <row r="7" spans="1:18" x14ac:dyDescent="0.2">
      <c r="A7" t="s">
        <v>60</v>
      </c>
      <c r="M7" s="64" t="s">
        <v>70</v>
      </c>
      <c r="N7" s="64"/>
      <c r="O7" s="65"/>
      <c r="P7" s="63" t="s">
        <v>69</v>
      </c>
      <c r="Q7" s="63"/>
      <c r="R7" s="63"/>
    </row>
    <row r="8" spans="1:18" ht="13.5" thickBot="1" x14ac:dyDescent="0.25">
      <c r="M8" s="55">
        <v>2017</v>
      </c>
      <c r="N8" s="29">
        <v>2018</v>
      </c>
      <c r="O8" s="29" t="s">
        <v>42</v>
      </c>
      <c r="P8" s="29">
        <v>2019</v>
      </c>
      <c r="Q8" s="29">
        <v>2020</v>
      </c>
      <c r="R8" s="29" t="s">
        <v>42</v>
      </c>
    </row>
    <row r="9" spans="1:18" ht="13.5" thickBot="1" x14ac:dyDescent="0.25">
      <c r="A9" s="1" t="s">
        <v>0</v>
      </c>
      <c r="B9" s="29" t="s">
        <v>40</v>
      </c>
      <c r="C9" s="29" t="s">
        <v>41</v>
      </c>
      <c r="D9" s="29" t="s">
        <v>42</v>
      </c>
      <c r="E9" s="1" t="s">
        <v>7</v>
      </c>
      <c r="F9" s="1" t="s">
        <v>8</v>
      </c>
      <c r="G9" s="1" t="s">
        <v>9</v>
      </c>
      <c r="J9" s="1" t="s">
        <v>21</v>
      </c>
      <c r="M9" s="56"/>
      <c r="N9" s="11"/>
      <c r="O9" s="11"/>
    </row>
    <row r="10" spans="1:18" ht="18" x14ac:dyDescent="0.25">
      <c r="A10" s="18" t="s">
        <v>10</v>
      </c>
      <c r="B10" s="19">
        <f>B11+B17</f>
        <v>217170409</v>
      </c>
      <c r="C10" s="19">
        <f>B10*0.21</f>
        <v>45605785.890000001</v>
      </c>
      <c r="D10" s="19">
        <f>D11+D17</f>
        <v>248788943.5</v>
      </c>
      <c r="E10" s="7" t="e">
        <f>E11+E17</f>
        <v>#REF!</v>
      </c>
      <c r="F10" s="7" t="b">
        <v>0</v>
      </c>
      <c r="G10">
        <v>1</v>
      </c>
      <c r="M10" s="56"/>
      <c r="N10" s="11"/>
      <c r="O10" s="11"/>
      <c r="R10" s="34"/>
    </row>
    <row r="11" spans="1:18" ht="15" x14ac:dyDescent="0.25">
      <c r="A11" s="21" t="s">
        <v>11</v>
      </c>
      <c r="B11" s="22">
        <f>B12</f>
        <v>200693994.5</v>
      </c>
      <c r="C11" s="22">
        <f t="shared" ref="C11:C12" si="0">B11*0.21</f>
        <v>42145738.844999999</v>
      </c>
      <c r="D11" s="22">
        <f>B11</f>
        <v>200693994.5</v>
      </c>
      <c r="E11" s="8" t="e">
        <f>E12+#REF!</f>
        <v>#REF!</v>
      </c>
      <c r="F11" s="8" t="b">
        <v>0</v>
      </c>
      <c r="G11">
        <v>2</v>
      </c>
      <c r="M11" s="57"/>
      <c r="N11" s="22"/>
      <c r="O11" s="22"/>
      <c r="P11" s="21"/>
      <c r="Q11" s="22"/>
      <c r="R11" s="22"/>
    </row>
    <row r="12" spans="1:18" x14ac:dyDescent="0.2">
      <c r="A12" s="4" t="s">
        <v>12</v>
      </c>
      <c r="B12" s="9">
        <f>B13</f>
        <v>200693994.5</v>
      </c>
      <c r="C12" s="9">
        <f t="shared" si="0"/>
        <v>42145738.844999999</v>
      </c>
      <c r="D12" s="9">
        <f>B12</f>
        <v>200693994.5</v>
      </c>
      <c r="E12" s="9" t="e">
        <f>E13+#REF!</f>
        <v>#REF!</v>
      </c>
      <c r="F12" s="9" t="b">
        <v>0</v>
      </c>
      <c r="G12">
        <v>3</v>
      </c>
      <c r="M12" s="58"/>
      <c r="N12" s="9"/>
      <c r="O12" s="9"/>
      <c r="P12" s="4"/>
      <c r="Q12" s="9"/>
      <c r="R12" s="9"/>
    </row>
    <row r="13" spans="1:18" x14ac:dyDescent="0.2">
      <c r="A13" s="34" t="s">
        <v>13</v>
      </c>
      <c r="B13" s="43">
        <f>B14+B15</f>
        <v>200693994.5</v>
      </c>
      <c r="C13" s="43"/>
      <c r="D13" s="43">
        <f>D14+D15</f>
        <v>200693994.5</v>
      </c>
      <c r="E13" s="10">
        <f>SUM(E14:E15)</f>
        <v>0</v>
      </c>
      <c r="F13" s="10" t="b">
        <v>0</v>
      </c>
      <c r="G13">
        <v>4</v>
      </c>
      <c r="M13" s="56"/>
      <c r="N13" s="11"/>
      <c r="O13" s="11"/>
      <c r="P13" s="43">
        <f>P15+P14</f>
        <v>68831742.75</v>
      </c>
      <c r="Q13" s="43">
        <f>Q14+Q15</f>
        <v>81688753.125</v>
      </c>
      <c r="R13" s="61">
        <f>R14+R15</f>
        <v>150520495.875</v>
      </c>
    </row>
    <row r="14" spans="1:18" ht="89.25" x14ac:dyDescent="0.2">
      <c r="A14" s="48" t="s">
        <v>14</v>
      </c>
      <c r="B14" s="49">
        <f>K14</f>
        <v>55469544.5</v>
      </c>
      <c r="C14" s="49"/>
      <c r="D14" s="49">
        <f>B14</f>
        <v>55469544.5</v>
      </c>
      <c r="E14" s="11">
        <v>0</v>
      </c>
      <c r="F14" t="b">
        <v>0</v>
      </c>
      <c r="G14">
        <v>5</v>
      </c>
      <c r="J14" s="47" t="s">
        <v>64</v>
      </c>
      <c r="K14" s="51">
        <f>14710920+5122210+2500000+11000000+11000000+11136414.5</f>
        <v>55469544.5</v>
      </c>
      <c r="M14" s="56"/>
      <c r="N14" s="11"/>
      <c r="O14" s="11"/>
      <c r="P14" s="51">
        <f>D14*0.75</f>
        <v>41602158.375</v>
      </c>
      <c r="Q14" s="51">
        <v>0</v>
      </c>
      <c r="R14" s="53">
        <f>Q14+P14</f>
        <v>41602158.375</v>
      </c>
    </row>
    <row r="15" spans="1:18" x14ac:dyDescent="0.2">
      <c r="A15" s="3" t="s">
        <v>15</v>
      </c>
      <c r="B15" s="24">
        <v>145224450</v>
      </c>
      <c r="C15" s="24"/>
      <c r="D15" s="24">
        <f>B15</f>
        <v>145224450</v>
      </c>
      <c r="E15" s="11">
        <v>0</v>
      </c>
      <c r="F15" t="b">
        <v>0</v>
      </c>
      <c r="G15">
        <v>5</v>
      </c>
      <c r="J15" s="3" t="s">
        <v>22</v>
      </c>
      <c r="M15" s="56"/>
      <c r="N15" s="11"/>
      <c r="O15" s="11"/>
      <c r="P15" s="52">
        <f>(D15/16*4)*0.75</f>
        <v>27229584.375</v>
      </c>
      <c r="Q15" s="52">
        <f>(D15/16*12)*0.75</f>
        <v>81688753.125</v>
      </c>
      <c r="R15" s="54">
        <f>Q15+P15</f>
        <v>108918337.5</v>
      </c>
    </row>
    <row r="16" spans="1:18" x14ac:dyDescent="0.2">
      <c r="A16" s="3"/>
      <c r="B16" s="24"/>
      <c r="C16" s="24"/>
      <c r="D16" s="24"/>
      <c r="E16" s="11"/>
      <c r="M16" s="56"/>
      <c r="N16" s="11"/>
      <c r="O16" s="11"/>
    </row>
    <row r="17" spans="1:18" ht="15" x14ac:dyDescent="0.25">
      <c r="A17" s="26" t="s">
        <v>17</v>
      </c>
      <c r="B17" s="27">
        <f>B18</f>
        <v>16476414.5</v>
      </c>
      <c r="C17" s="27">
        <f t="shared" ref="C17:C18" si="1">C18</f>
        <v>93450</v>
      </c>
      <c r="D17" s="27">
        <f>D18</f>
        <v>48094949</v>
      </c>
      <c r="E17" s="12">
        <v>0</v>
      </c>
      <c r="F17" s="12" t="b">
        <v>0</v>
      </c>
      <c r="G17" s="5">
        <v>2</v>
      </c>
      <c r="M17" s="59"/>
      <c r="N17" s="27"/>
      <c r="O17" s="27"/>
      <c r="P17" s="27"/>
      <c r="Q17" s="27"/>
      <c r="R17" s="27"/>
    </row>
    <row r="18" spans="1:18" x14ac:dyDescent="0.2">
      <c r="A18" s="6" t="s">
        <v>18</v>
      </c>
      <c r="B18" s="13">
        <f>B19+B22+B23+B24+B21</f>
        <v>16476414.5</v>
      </c>
      <c r="C18" s="13">
        <f t="shared" si="1"/>
        <v>93450</v>
      </c>
      <c r="D18" s="13">
        <f>D19+D20+D21+D22+D23+D24</f>
        <v>48094949</v>
      </c>
      <c r="E18" s="13">
        <v>0</v>
      </c>
      <c r="F18" s="13" t="b">
        <v>0</v>
      </c>
      <c r="G18" s="6">
        <v>3</v>
      </c>
      <c r="M18" s="60">
        <f>M19</f>
        <v>500000</v>
      </c>
      <c r="N18" s="13">
        <f>N22</f>
        <v>1000000</v>
      </c>
      <c r="O18" s="62">
        <f>N18+M18</f>
        <v>1500000</v>
      </c>
      <c r="P18" s="13"/>
      <c r="Q18" s="13"/>
      <c r="R18" s="13"/>
    </row>
    <row r="19" spans="1:18" x14ac:dyDescent="0.2">
      <c r="A19" s="15" t="s">
        <v>29</v>
      </c>
      <c r="B19" s="32">
        <v>445000</v>
      </c>
      <c r="C19" s="32">
        <f>B19*0.21</f>
        <v>93450</v>
      </c>
      <c r="D19" s="32">
        <f>B19*1.21</f>
        <v>538450</v>
      </c>
      <c r="E19" s="31">
        <v>0</v>
      </c>
      <c r="G19" s="6"/>
      <c r="J19" s="3" t="s">
        <v>50</v>
      </c>
      <c r="M19" s="56">
        <v>500000</v>
      </c>
      <c r="N19" s="11"/>
      <c r="O19" s="11"/>
    </row>
    <row r="20" spans="1:18" x14ac:dyDescent="0.2">
      <c r="A20" s="3" t="s">
        <v>62</v>
      </c>
      <c r="B20" s="11">
        <v>0</v>
      </c>
      <c r="C20" s="11"/>
      <c r="D20" s="11">
        <f>D37</f>
        <v>30497134.5</v>
      </c>
      <c r="J20" s="3" t="s">
        <v>52</v>
      </c>
      <c r="M20" s="56"/>
      <c r="N20" s="11"/>
      <c r="O20" s="11"/>
    </row>
    <row r="21" spans="1:18" x14ac:dyDescent="0.2">
      <c r="A21" s="3" t="s">
        <v>65</v>
      </c>
      <c r="B21" s="11">
        <v>11136414.5</v>
      </c>
      <c r="C21" s="11"/>
      <c r="D21" s="11">
        <f>B21</f>
        <v>11136414.5</v>
      </c>
      <c r="J21" t="s">
        <v>55</v>
      </c>
      <c r="M21" s="56"/>
      <c r="N21" s="11"/>
      <c r="O21" s="11"/>
    </row>
    <row r="22" spans="1:18" x14ac:dyDescent="0.2">
      <c r="A22" s="3" t="s">
        <v>68</v>
      </c>
      <c r="B22" s="24">
        <v>1995000</v>
      </c>
      <c r="C22" s="24">
        <f>B22*0.21</f>
        <v>418950</v>
      </c>
      <c r="D22" s="24">
        <f>B22*1.21</f>
        <v>2413950</v>
      </c>
      <c r="E22" s="11">
        <v>0</v>
      </c>
      <c r="F22" t="b">
        <v>0</v>
      </c>
      <c r="G22">
        <v>5</v>
      </c>
      <c r="J22" s="3" t="s">
        <v>67</v>
      </c>
      <c r="M22" s="56"/>
      <c r="N22" s="11">
        <v>1000000</v>
      </c>
      <c r="O22" s="11"/>
    </row>
    <row r="23" spans="1:18" x14ac:dyDescent="0.2">
      <c r="A23" s="3" t="s">
        <v>44</v>
      </c>
      <c r="B23" s="24">
        <v>1900000</v>
      </c>
      <c r="C23" s="24">
        <f>B23*0.21</f>
        <v>399000</v>
      </c>
      <c r="D23" s="24">
        <f t="shared" ref="D23:D24" si="2">B23*1.21</f>
        <v>2299000</v>
      </c>
      <c r="E23" s="11"/>
      <c r="J23" s="3" t="s">
        <v>45</v>
      </c>
      <c r="M23" s="56"/>
      <c r="N23" s="11"/>
      <c r="O23" s="11"/>
    </row>
    <row r="24" spans="1:18" x14ac:dyDescent="0.2">
      <c r="A24" s="3" t="s">
        <v>46</v>
      </c>
      <c r="B24" s="24">
        <v>1000000</v>
      </c>
      <c r="C24" s="24">
        <f>B24*0.21</f>
        <v>210000</v>
      </c>
      <c r="D24" s="24">
        <f t="shared" si="2"/>
        <v>1210000</v>
      </c>
      <c r="E24" s="11"/>
      <c r="J24" s="3" t="s">
        <v>45</v>
      </c>
      <c r="M24" s="56"/>
      <c r="N24" s="11"/>
      <c r="O24" s="11"/>
    </row>
    <row r="25" spans="1:18" x14ac:dyDescent="0.2">
      <c r="A25" s="3"/>
      <c r="B25" s="11"/>
      <c r="C25" s="11"/>
      <c r="D25" s="11"/>
      <c r="M25" s="56"/>
      <c r="N25" s="11"/>
      <c r="O25" s="11"/>
    </row>
    <row r="26" spans="1:18" x14ac:dyDescent="0.2">
      <c r="A26" s="3"/>
      <c r="B26" s="11"/>
      <c r="C26" s="11"/>
      <c r="D26" s="11"/>
      <c r="M26" s="56"/>
      <c r="N26" s="11"/>
      <c r="O26" s="11"/>
      <c r="R26" s="45">
        <f>R14+R15</f>
        <v>150520495.875</v>
      </c>
    </row>
    <row r="27" spans="1:18" x14ac:dyDescent="0.2">
      <c r="B27" s="11"/>
      <c r="C27" s="11"/>
      <c r="D27" s="11"/>
      <c r="M27" s="56"/>
      <c r="N27" s="11"/>
      <c r="O27" s="11"/>
    </row>
    <row r="28" spans="1:18" ht="15" x14ac:dyDescent="0.25">
      <c r="A28" s="36" t="s">
        <v>25</v>
      </c>
      <c r="B28" s="37"/>
      <c r="C28" s="37"/>
      <c r="D28" s="45">
        <f>(D14+D15)*0.75</f>
        <v>150520495.875</v>
      </c>
      <c r="M28" s="56"/>
      <c r="N28" s="11"/>
      <c r="O28" s="11"/>
    </row>
    <row r="29" spans="1:18" ht="15" x14ac:dyDescent="0.25">
      <c r="A29" s="3"/>
      <c r="B29" s="39"/>
      <c r="C29" s="39"/>
      <c r="D29" s="39"/>
    </row>
    <row r="30" spans="1:18" ht="15" x14ac:dyDescent="0.25">
      <c r="A30" s="46" t="s">
        <v>56</v>
      </c>
      <c r="B30" s="39"/>
      <c r="C30" s="39"/>
      <c r="D30" s="39"/>
    </row>
    <row r="31" spans="1:18" x14ac:dyDescent="0.2">
      <c r="A31" s="34" t="s">
        <v>24</v>
      </c>
      <c r="B31" s="34"/>
      <c r="C31" s="34"/>
      <c r="D31" s="43">
        <f>324910*500</f>
        <v>162455000</v>
      </c>
      <c r="J31" s="3" t="s">
        <v>49</v>
      </c>
      <c r="M31" s="3" t="s">
        <v>58</v>
      </c>
      <c r="N31" s="3"/>
      <c r="O31" s="3"/>
    </row>
    <row r="32" spans="1:18" x14ac:dyDescent="0.2">
      <c r="A32" s="34" t="s">
        <v>66</v>
      </c>
      <c r="B32" s="34"/>
      <c r="C32" s="34"/>
      <c r="D32" s="43">
        <f>D31-D28</f>
        <v>11934504.125</v>
      </c>
      <c r="J32" s="3"/>
      <c r="M32" s="3"/>
      <c r="N32" s="3"/>
      <c r="O32" s="3"/>
    </row>
    <row r="33" spans="1:15" x14ac:dyDescent="0.2">
      <c r="A33" s="3" t="s">
        <v>30</v>
      </c>
      <c r="D33" s="11">
        <f>B15*0.75</f>
        <v>108918337.5</v>
      </c>
      <c r="J33" s="11"/>
    </row>
    <row r="34" spans="1:15" x14ac:dyDescent="0.2">
      <c r="A34" s="3" t="s">
        <v>47</v>
      </c>
      <c r="D34" s="11">
        <v>0</v>
      </c>
      <c r="J34" s="44">
        <f>D33+D34+D35</f>
        <v>150520495.875</v>
      </c>
    </row>
    <row r="35" spans="1:15" x14ac:dyDescent="0.2">
      <c r="A35" s="3" t="s">
        <v>36</v>
      </c>
      <c r="D35" s="11">
        <f>B14*0.75</f>
        <v>41602158.375</v>
      </c>
      <c r="M35" s="50">
        <f>D28-J34</f>
        <v>0</v>
      </c>
      <c r="N35" s="50"/>
      <c r="O35" s="50"/>
    </row>
    <row r="36" spans="1:15" x14ac:dyDescent="0.2">
      <c r="M36" s="11"/>
      <c r="N36" s="11"/>
      <c r="O36" s="11"/>
    </row>
    <row r="37" spans="1:15" x14ac:dyDescent="0.2">
      <c r="A37" s="3" t="s">
        <v>63</v>
      </c>
      <c r="D37" s="11">
        <f>B15*0.21</f>
        <v>30497134.5</v>
      </c>
      <c r="M37" s="11"/>
      <c r="N37" s="11"/>
      <c r="O37" s="11"/>
    </row>
    <row r="42" spans="1:15" x14ac:dyDescent="0.2">
      <c r="B42" s="11"/>
    </row>
    <row r="43" spans="1:15" x14ac:dyDescent="0.2">
      <c r="B43" s="11"/>
      <c r="D43" s="11"/>
    </row>
  </sheetData>
  <mergeCells count="2">
    <mergeCell ref="P7:R7"/>
    <mergeCell ref="M7:O7"/>
  </mergeCells>
  <pageMargins left="0.70866141732283472" right="0.70866141732283472" top="0.78740157480314965" bottom="0.78740157480314965" header="0.31496062992125984" footer="0.31496062992125984"/>
  <pageSetup paperSize="8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showGridLines="0" topLeftCell="A4" workbookViewId="0">
      <selection activeCell="D10" sqref="D10"/>
    </sheetView>
  </sheetViews>
  <sheetFormatPr defaultRowHeight="12.75" x14ac:dyDescent="0.2"/>
  <cols>
    <col min="1" max="1" width="63.7109375" customWidth="1"/>
    <col min="2" max="2" width="17" customWidth="1"/>
    <col min="3" max="3" width="17" hidden="1" customWidth="1"/>
    <col min="4" max="4" width="25.28515625" customWidth="1"/>
    <col min="5" max="5" width="15" hidden="1" customWidth="1"/>
    <col min="6" max="6" width="23" hidden="1" customWidth="1"/>
    <col min="7" max="7" width="15" hidden="1" customWidth="1"/>
    <col min="8" max="8" width="5.140625" customWidth="1"/>
    <col min="9" max="9" width="3.140625" customWidth="1"/>
    <col min="10" max="10" width="69.42578125" customWidth="1"/>
    <col min="11" max="12" width="15" customWidth="1"/>
    <col min="13" max="13" width="25.42578125" customWidth="1"/>
    <col min="14" max="246" width="15" customWidth="1"/>
  </cols>
  <sheetData>
    <row r="1" spans="1:10" ht="26.25" x14ac:dyDescent="0.4">
      <c r="A1" s="42" t="s">
        <v>19</v>
      </c>
    </row>
    <row r="2" spans="1:10" x14ac:dyDescent="0.2">
      <c r="A2" s="34" t="s">
        <v>53</v>
      </c>
    </row>
    <row r="3" spans="1:10" x14ac:dyDescent="0.2">
      <c r="A3" s="3" t="s">
        <v>39</v>
      </c>
    </row>
    <row r="4" spans="1:10" x14ac:dyDescent="0.2">
      <c r="A4" s="34"/>
    </row>
    <row r="5" spans="1:10" x14ac:dyDescent="0.2">
      <c r="A5" s="41" t="s">
        <v>34</v>
      </c>
    </row>
    <row r="8" spans="1:10" ht="13.5" thickBot="1" x14ac:dyDescent="0.25">
      <c r="A8" s="1" t="s">
        <v>0</v>
      </c>
      <c r="B8" s="29" t="s">
        <v>40</v>
      </c>
      <c r="C8" s="29" t="s">
        <v>41</v>
      </c>
      <c r="D8" s="29" t="s">
        <v>42</v>
      </c>
      <c r="E8" s="1" t="s">
        <v>7</v>
      </c>
      <c r="F8" s="1" t="s">
        <v>8</v>
      </c>
      <c r="G8" s="1" t="s">
        <v>9</v>
      </c>
      <c r="J8" s="1" t="s">
        <v>21</v>
      </c>
    </row>
    <row r="9" spans="1:10" ht="18" x14ac:dyDescent="0.25">
      <c r="A9" s="18" t="s">
        <v>10</v>
      </c>
      <c r="B9" s="19">
        <f>B10+B20</f>
        <v>217051666.66000003</v>
      </c>
      <c r="C9" s="19">
        <f>B9*0.21</f>
        <v>45580849.998600006</v>
      </c>
      <c r="D9" s="19">
        <f>D10+D20</f>
        <v>248587251.16000003</v>
      </c>
      <c r="E9" s="7" t="e">
        <f>E10+E20</f>
        <v>#REF!</v>
      </c>
      <c r="F9" s="7" t="b">
        <v>0</v>
      </c>
      <c r="G9">
        <v>1</v>
      </c>
    </row>
    <row r="10" spans="1:10" ht="15" x14ac:dyDescent="0.25">
      <c r="A10" s="21" t="s">
        <v>11</v>
      </c>
      <c r="B10" s="22">
        <f>B11</f>
        <v>216606666.66000003</v>
      </c>
      <c r="C10" s="22">
        <f t="shared" ref="C10:C11" si="0">B10*0.21</f>
        <v>45487399.998600006</v>
      </c>
      <c r="D10" s="22">
        <f>B10</f>
        <v>216606666.66000003</v>
      </c>
      <c r="E10" s="8" t="e">
        <f>E11+#REF!</f>
        <v>#REF!</v>
      </c>
      <c r="F10" s="8" t="b">
        <v>0</v>
      </c>
      <c r="G10">
        <v>2</v>
      </c>
    </row>
    <row r="11" spans="1:10" x14ac:dyDescent="0.2">
      <c r="A11" s="4" t="s">
        <v>12</v>
      </c>
      <c r="B11" s="9">
        <f>B14+B16+B17+B18+B13</f>
        <v>216606666.66000003</v>
      </c>
      <c r="C11" s="9">
        <f t="shared" si="0"/>
        <v>45487399.998600006</v>
      </c>
      <c r="D11" s="9">
        <f>B11</f>
        <v>216606666.66000003</v>
      </c>
      <c r="E11" s="9" t="e">
        <f>E12+#REF!</f>
        <v>#REF!</v>
      </c>
      <c r="F11" s="9" t="b">
        <v>0</v>
      </c>
      <c r="G11">
        <v>3</v>
      </c>
    </row>
    <row r="12" spans="1:10" x14ac:dyDescent="0.2">
      <c r="A12" s="34" t="s">
        <v>13</v>
      </c>
      <c r="B12" s="43">
        <f>B13+B14+B16+B17+B18</f>
        <v>216606666.66000003</v>
      </c>
      <c r="C12" s="43"/>
      <c r="D12" s="43">
        <f>D13+D14+D16+D17+D18</f>
        <v>216606666.66000003</v>
      </c>
      <c r="E12" s="10">
        <f>SUM(E13:E16)</f>
        <v>0</v>
      </c>
      <c r="F12" s="10" t="b">
        <v>0</v>
      </c>
      <c r="G12">
        <v>4</v>
      </c>
    </row>
    <row r="13" spans="1:10" ht="38.25" x14ac:dyDescent="0.2">
      <c r="A13" s="48" t="s">
        <v>14</v>
      </c>
      <c r="B13" s="49">
        <f>65382163+1125040.25+281260.06+70315.02+17578.75+4394.69+1098.67+274.67+68.67+17.16+4.29+1.08+0.27+0.06+0.02</f>
        <v>66882216.660000011</v>
      </c>
      <c r="C13" s="49"/>
      <c r="D13" s="49">
        <f>B13</f>
        <v>66882216.660000011</v>
      </c>
      <c r="E13" s="11">
        <v>0</v>
      </c>
      <c r="F13" t="b">
        <v>0</v>
      </c>
      <c r="G13">
        <v>5</v>
      </c>
      <c r="J13" s="47" t="s">
        <v>57</v>
      </c>
    </row>
    <row r="14" spans="1:10" x14ac:dyDescent="0.2">
      <c r="A14" s="3" t="s">
        <v>15</v>
      </c>
      <c r="B14" s="24">
        <v>145224450</v>
      </c>
      <c r="C14" s="24"/>
      <c r="D14" s="24">
        <f>B14</f>
        <v>145224450</v>
      </c>
      <c r="E14" s="11">
        <v>0</v>
      </c>
      <c r="F14" t="b">
        <v>0</v>
      </c>
      <c r="G14">
        <v>5</v>
      </c>
      <c r="J14" s="3" t="s">
        <v>22</v>
      </c>
    </row>
    <row r="15" spans="1:10" x14ac:dyDescent="0.2">
      <c r="A15" s="3" t="s">
        <v>16</v>
      </c>
      <c r="B15" s="24"/>
      <c r="C15" s="24"/>
      <c r="D15" s="24"/>
      <c r="E15" s="11">
        <v>0</v>
      </c>
      <c r="F15" t="b">
        <v>0</v>
      </c>
      <c r="G15">
        <v>5</v>
      </c>
    </row>
    <row r="16" spans="1:10" x14ac:dyDescent="0.2">
      <c r="A16" s="3" t="s">
        <v>43</v>
      </c>
      <c r="B16" s="24">
        <v>1600000</v>
      </c>
      <c r="C16" s="24">
        <f>B16*0.21</f>
        <v>336000</v>
      </c>
      <c r="D16" s="24">
        <f>B16</f>
        <v>1600000</v>
      </c>
      <c r="E16" s="11">
        <v>0</v>
      </c>
      <c r="F16" t="b">
        <v>0</v>
      </c>
      <c r="G16">
        <v>5</v>
      </c>
      <c r="J16" s="3" t="s">
        <v>45</v>
      </c>
    </row>
    <row r="17" spans="1:13" x14ac:dyDescent="0.2">
      <c r="A17" s="3" t="s">
        <v>44</v>
      </c>
      <c r="B17" s="24">
        <v>1900000</v>
      </c>
      <c r="C17" s="24">
        <f>B17*0.21</f>
        <v>399000</v>
      </c>
      <c r="D17" s="24">
        <f>B17</f>
        <v>1900000</v>
      </c>
      <c r="E17" s="11"/>
      <c r="J17" s="3" t="s">
        <v>45</v>
      </c>
    </row>
    <row r="18" spans="1:13" x14ac:dyDescent="0.2">
      <c r="A18" s="3" t="s">
        <v>46</v>
      </c>
      <c r="B18" s="24">
        <v>1000000</v>
      </c>
      <c r="C18" s="24">
        <f>B18*0.21</f>
        <v>210000</v>
      </c>
      <c r="D18" s="24">
        <f>B18</f>
        <v>1000000</v>
      </c>
      <c r="E18" s="11"/>
      <c r="J18" s="3" t="s">
        <v>45</v>
      </c>
    </row>
    <row r="19" spans="1:13" x14ac:dyDescent="0.2">
      <c r="A19" s="3" t="s">
        <v>28</v>
      </c>
      <c r="B19" s="24"/>
      <c r="C19" s="24"/>
      <c r="D19" s="24"/>
      <c r="E19" s="11"/>
    </row>
    <row r="20" spans="1:13" ht="15" x14ac:dyDescent="0.25">
      <c r="A20" s="26" t="s">
        <v>17</v>
      </c>
      <c r="B20" s="27">
        <f>B21</f>
        <v>445000</v>
      </c>
      <c r="C20" s="27">
        <f t="shared" ref="C20" si="1">C21</f>
        <v>93450</v>
      </c>
      <c r="D20" s="27">
        <f>D21</f>
        <v>31980584.5</v>
      </c>
      <c r="E20" s="12">
        <v>0</v>
      </c>
      <c r="F20" s="12" t="b">
        <v>0</v>
      </c>
      <c r="G20" s="5">
        <v>2</v>
      </c>
    </row>
    <row r="21" spans="1:13" x14ac:dyDescent="0.2">
      <c r="A21" s="6" t="s">
        <v>18</v>
      </c>
      <c r="B21" s="13">
        <f>B22</f>
        <v>445000</v>
      </c>
      <c r="C21" s="13">
        <f t="shared" ref="C21" si="2">C22</f>
        <v>93450</v>
      </c>
      <c r="D21" s="13">
        <f>D22+D23</f>
        <v>31980584.5</v>
      </c>
      <c r="E21" s="13">
        <v>0</v>
      </c>
      <c r="F21" s="13" t="b">
        <v>0</v>
      </c>
      <c r="G21" s="6">
        <v>3</v>
      </c>
    </row>
    <row r="22" spans="1:13" x14ac:dyDescent="0.2">
      <c r="A22" s="15" t="s">
        <v>29</v>
      </c>
      <c r="B22" s="32">
        <v>445000</v>
      </c>
      <c r="C22" s="32">
        <f>B22*0.21</f>
        <v>93450</v>
      </c>
      <c r="D22" s="32">
        <f>B22</f>
        <v>445000</v>
      </c>
      <c r="E22" s="31">
        <v>0</v>
      </c>
      <c r="G22" s="6"/>
      <c r="J22" s="3" t="s">
        <v>50</v>
      </c>
    </row>
    <row r="23" spans="1:13" x14ac:dyDescent="0.2">
      <c r="A23" s="3" t="s">
        <v>51</v>
      </c>
      <c r="B23" s="11">
        <v>0</v>
      </c>
      <c r="C23" s="11"/>
      <c r="D23" s="11">
        <f>D34</f>
        <v>31535584.5</v>
      </c>
      <c r="J23" s="3" t="s">
        <v>52</v>
      </c>
    </row>
    <row r="24" spans="1:13" x14ac:dyDescent="0.2">
      <c r="A24" s="3" t="s">
        <v>54</v>
      </c>
      <c r="B24" s="11">
        <v>8967772.3399999999</v>
      </c>
      <c r="C24" s="11"/>
      <c r="D24" s="11">
        <f>B24</f>
        <v>8967772.3399999999</v>
      </c>
      <c r="J24" t="s">
        <v>55</v>
      </c>
    </row>
    <row r="25" spans="1:13" x14ac:dyDescent="0.2">
      <c r="B25" s="11"/>
      <c r="C25" s="11"/>
      <c r="D25" s="11"/>
    </row>
    <row r="26" spans="1:13" ht="15" x14ac:dyDescent="0.25">
      <c r="A26" s="36" t="s">
        <v>25</v>
      </c>
      <c r="B26" s="37"/>
      <c r="C26" s="37"/>
      <c r="D26" s="45">
        <f>(D13+D14+D16+D17+D18)*0.75</f>
        <v>162454999.995</v>
      </c>
    </row>
    <row r="27" spans="1:13" ht="15" x14ac:dyDescent="0.25">
      <c r="A27" s="3"/>
      <c r="B27" s="39"/>
      <c r="C27" s="39"/>
      <c r="D27" s="39"/>
    </row>
    <row r="28" spans="1:13" ht="15" x14ac:dyDescent="0.25">
      <c r="A28" s="46" t="s">
        <v>56</v>
      </c>
      <c r="B28" s="39"/>
      <c r="C28" s="39"/>
      <c r="D28" s="39"/>
    </row>
    <row r="29" spans="1:13" x14ac:dyDescent="0.2">
      <c r="A29" s="34" t="s">
        <v>24</v>
      </c>
      <c r="B29" s="34"/>
      <c r="C29" s="34"/>
      <c r="D29" s="43">
        <f>324910*500</f>
        <v>162455000</v>
      </c>
      <c r="J29" s="3" t="s">
        <v>49</v>
      </c>
      <c r="M29" s="3" t="s">
        <v>58</v>
      </c>
    </row>
    <row r="30" spans="1:13" x14ac:dyDescent="0.2">
      <c r="A30" s="3" t="s">
        <v>30</v>
      </c>
      <c r="D30" s="11">
        <f>B14*0.75</f>
        <v>108918337.5</v>
      </c>
      <c r="J30" s="11"/>
    </row>
    <row r="31" spans="1:13" x14ac:dyDescent="0.2">
      <c r="A31" s="3" t="s">
        <v>47</v>
      </c>
      <c r="D31" s="11">
        <f>(B16+B17+B18)*0.75</f>
        <v>3375000</v>
      </c>
      <c r="J31" s="44">
        <f>D30+D31+D32</f>
        <v>162454999.995</v>
      </c>
    </row>
    <row r="32" spans="1:13" x14ac:dyDescent="0.2">
      <c r="A32" s="3" t="s">
        <v>36</v>
      </c>
      <c r="D32" s="11">
        <f>B13*0.75</f>
        <v>50161662.495000005</v>
      </c>
      <c r="M32" s="50">
        <f>D26-J31</f>
        <v>0</v>
      </c>
    </row>
    <row r="33" spans="1:13" x14ac:dyDescent="0.2">
      <c r="M33" s="11">
        <f>J31-D29</f>
        <v>-4.999995231628418E-3</v>
      </c>
    </row>
    <row r="34" spans="1:13" x14ac:dyDescent="0.2">
      <c r="A34" s="3" t="s">
        <v>48</v>
      </c>
      <c r="D34" s="11">
        <f>(B14+B16+B17+B18+B22)*0.21</f>
        <v>31535584.5</v>
      </c>
      <c r="M34" s="11">
        <f>M32+D32</f>
        <v>50161662.495000005</v>
      </c>
    </row>
    <row r="37" spans="1:13" x14ac:dyDescent="0.2">
      <c r="D37">
        <f>D26/B10</f>
        <v>0.74999999999999989</v>
      </c>
    </row>
    <row r="39" spans="1:13" x14ac:dyDescent="0.2">
      <c r="B39" s="11"/>
    </row>
    <row r="40" spans="1:13" x14ac:dyDescent="0.2">
      <c r="D40" s="11"/>
    </row>
    <row r="42" spans="1:13" x14ac:dyDescent="0.2">
      <c r="D42" s="11">
        <f>D23-'Plán čerpání dotace 042017'!D20</f>
        <v>1038450</v>
      </c>
    </row>
    <row r="43" spans="1:13" x14ac:dyDescent="0.2">
      <c r="D43">
        <f>(B16+B17+B18+B22)*0.21</f>
        <v>1038450</v>
      </c>
    </row>
  </sheetData>
  <pageMargins left="0.70866141732283472" right="0.70866141732283472" top="0.78740157480314965" bottom="0.78740157480314965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showGridLines="0" topLeftCell="A4" workbookViewId="0">
      <selection activeCell="G26" sqref="G26"/>
    </sheetView>
  </sheetViews>
  <sheetFormatPr defaultRowHeight="12.75" x14ac:dyDescent="0.2"/>
  <cols>
    <col min="1" max="1" width="54.85546875" customWidth="1"/>
    <col min="2" max="2" width="17.140625" customWidth="1"/>
    <col min="3" max="3" width="18.42578125" customWidth="1"/>
    <col min="4" max="4" width="17" customWidth="1"/>
    <col min="5" max="5" width="18.7109375" customWidth="1"/>
    <col min="6" max="6" width="16.85546875" customWidth="1"/>
    <col min="7" max="7" width="18.28515625" customWidth="1"/>
    <col min="8" max="8" width="15" hidden="1" customWidth="1"/>
    <col min="9" max="9" width="23" hidden="1" customWidth="1"/>
    <col min="10" max="11" width="15" hidden="1" customWidth="1"/>
    <col min="12" max="12" width="3.140625" customWidth="1"/>
    <col min="13" max="13" width="21.85546875" customWidth="1"/>
    <col min="14" max="249" width="15" customWidth="1"/>
  </cols>
  <sheetData>
    <row r="1" spans="1:13" ht="26.25" x14ac:dyDescent="0.4">
      <c r="A1" s="42" t="s">
        <v>19</v>
      </c>
    </row>
    <row r="2" spans="1:13" x14ac:dyDescent="0.2">
      <c r="A2" s="34" t="s">
        <v>26</v>
      </c>
    </row>
    <row r="3" spans="1:13" x14ac:dyDescent="0.2">
      <c r="A3" s="3" t="s">
        <v>23</v>
      </c>
    </row>
    <row r="4" spans="1:13" x14ac:dyDescent="0.2">
      <c r="A4" s="3" t="s">
        <v>38</v>
      </c>
    </row>
    <row r="5" spans="1:13" x14ac:dyDescent="0.2">
      <c r="A5" s="34"/>
    </row>
    <row r="6" spans="1:13" x14ac:dyDescent="0.2">
      <c r="A6" s="41" t="s">
        <v>34</v>
      </c>
    </row>
    <row r="7" spans="1:13" x14ac:dyDescent="0.2">
      <c r="B7" s="35" t="s">
        <v>20</v>
      </c>
      <c r="C7" s="14">
        <v>2017</v>
      </c>
      <c r="D7">
        <v>2018</v>
      </c>
      <c r="E7">
        <v>2019</v>
      </c>
      <c r="F7">
        <v>2020</v>
      </c>
    </row>
    <row r="8" spans="1:13" x14ac:dyDescent="0.2">
      <c r="B8" s="14"/>
      <c r="C8" s="14"/>
    </row>
    <row r="9" spans="1:13" ht="13.5" thickBot="1" x14ac:dyDescent="0.25">
      <c r="A9" s="1" t="s">
        <v>0</v>
      </c>
      <c r="B9" s="29" t="s">
        <v>1</v>
      </c>
      <c r="C9" s="29" t="s">
        <v>2</v>
      </c>
      <c r="D9" s="29" t="s">
        <v>3</v>
      </c>
      <c r="E9" s="29" t="s">
        <v>4</v>
      </c>
      <c r="F9" s="30" t="s">
        <v>5</v>
      </c>
      <c r="G9" s="1" t="s">
        <v>6</v>
      </c>
      <c r="H9" s="1" t="s">
        <v>7</v>
      </c>
      <c r="I9" s="1" t="s">
        <v>8</v>
      </c>
      <c r="J9" s="1" t="s">
        <v>9</v>
      </c>
      <c r="M9" s="1" t="s">
        <v>21</v>
      </c>
    </row>
    <row r="10" spans="1:13" ht="18" x14ac:dyDescent="0.25">
      <c r="A10" s="18" t="s">
        <v>10</v>
      </c>
      <c r="B10" s="19">
        <f>B11+B19</f>
        <v>71920667</v>
      </c>
      <c r="C10" s="19"/>
      <c r="D10" s="19">
        <f>D11+D19</f>
        <v>145224450</v>
      </c>
      <c r="E10" s="19"/>
      <c r="F10" s="20"/>
      <c r="G10" s="19">
        <f>SUM(B10:F10)</f>
        <v>217145117</v>
      </c>
      <c r="H10" s="7" t="e">
        <f>H11+H19</f>
        <v>#REF!</v>
      </c>
      <c r="I10" s="7" t="b">
        <v>0</v>
      </c>
      <c r="J10">
        <v>1</v>
      </c>
    </row>
    <row r="11" spans="1:13" ht="15" x14ac:dyDescent="0.25">
      <c r="A11" s="21" t="s">
        <v>11</v>
      </c>
      <c r="B11" s="22">
        <f>B12</f>
        <v>71382217</v>
      </c>
      <c r="C11" s="22"/>
      <c r="D11" s="22">
        <f>D12</f>
        <v>145224450</v>
      </c>
      <c r="E11" s="22"/>
      <c r="F11" s="23"/>
      <c r="G11" s="23">
        <f t="shared" ref="G11:G12" si="0">SUM(B11:F11)</f>
        <v>216606667</v>
      </c>
      <c r="H11" s="8" t="e">
        <f>H12+#REF!</f>
        <v>#REF!</v>
      </c>
      <c r="I11" s="8" t="b">
        <v>0</v>
      </c>
      <c r="J11">
        <v>2</v>
      </c>
    </row>
    <row r="12" spans="1:13" x14ac:dyDescent="0.2">
      <c r="A12" s="4" t="s">
        <v>12</v>
      </c>
      <c r="B12" s="9">
        <f>B14</f>
        <v>71382217</v>
      </c>
      <c r="C12" s="9"/>
      <c r="D12" s="9">
        <f>D15</f>
        <v>145224450</v>
      </c>
      <c r="E12" s="9"/>
      <c r="F12" s="16"/>
      <c r="G12" s="16">
        <f t="shared" si="0"/>
        <v>216606667</v>
      </c>
      <c r="H12" s="9" t="e">
        <f>H13+#REF!</f>
        <v>#REF!</v>
      </c>
      <c r="I12" s="9" t="b">
        <v>0</v>
      </c>
      <c r="J12">
        <v>3</v>
      </c>
    </row>
    <row r="13" spans="1:13" x14ac:dyDescent="0.2">
      <c r="A13" s="2" t="s">
        <v>13</v>
      </c>
      <c r="B13" s="10"/>
      <c r="C13" s="10"/>
      <c r="D13" s="10"/>
      <c r="E13" s="10"/>
      <c r="F13" s="17"/>
      <c r="G13" s="10"/>
      <c r="H13" s="10">
        <f>SUM(H14:H17)</f>
        <v>0</v>
      </c>
      <c r="I13" s="10" t="b">
        <v>0</v>
      </c>
      <c r="J13">
        <v>4</v>
      </c>
    </row>
    <row r="14" spans="1:13" x14ac:dyDescent="0.2">
      <c r="A14" s="3" t="s">
        <v>14</v>
      </c>
      <c r="B14" s="24">
        <v>71382217</v>
      </c>
      <c r="C14" s="24"/>
      <c r="D14" s="24"/>
      <c r="E14" s="24"/>
      <c r="F14" s="25"/>
      <c r="G14" s="24"/>
      <c r="H14" s="11">
        <v>0</v>
      </c>
      <c r="I14" t="b">
        <v>0</v>
      </c>
      <c r="J14">
        <v>5</v>
      </c>
      <c r="M14" s="3" t="s">
        <v>31</v>
      </c>
    </row>
    <row r="15" spans="1:13" x14ac:dyDescent="0.2">
      <c r="A15" s="3" t="s">
        <v>15</v>
      </c>
      <c r="B15" s="24"/>
      <c r="C15" s="24"/>
      <c r="D15" s="24">
        <v>145224450</v>
      </c>
      <c r="E15" s="24"/>
      <c r="F15" s="25"/>
      <c r="G15" s="24"/>
      <c r="H15" s="11">
        <v>0</v>
      </c>
      <c r="I15" t="b">
        <v>0</v>
      </c>
      <c r="J15">
        <v>5</v>
      </c>
      <c r="M15" s="3" t="s">
        <v>22</v>
      </c>
    </row>
    <row r="16" spans="1:13" x14ac:dyDescent="0.2">
      <c r="A16" s="3" t="s">
        <v>16</v>
      </c>
      <c r="B16" s="24"/>
      <c r="C16" s="24"/>
      <c r="D16" s="24"/>
      <c r="E16" s="24"/>
      <c r="F16" s="25"/>
      <c r="G16" s="24"/>
      <c r="H16" s="11">
        <v>0</v>
      </c>
      <c r="I16" t="b">
        <v>0</v>
      </c>
      <c r="J16">
        <v>5</v>
      </c>
    </row>
    <row r="17" spans="1:13" x14ac:dyDescent="0.2">
      <c r="A17" s="3" t="s">
        <v>27</v>
      </c>
      <c r="B17" s="24">
        <v>0</v>
      </c>
      <c r="C17" s="24"/>
      <c r="D17" s="24"/>
      <c r="E17" s="24"/>
      <c r="F17" s="25"/>
      <c r="G17" s="24"/>
      <c r="H17" s="11">
        <v>0</v>
      </c>
      <c r="I17" t="b">
        <v>0</v>
      </c>
      <c r="J17">
        <v>5</v>
      </c>
    </row>
    <row r="18" spans="1:13" x14ac:dyDescent="0.2">
      <c r="A18" s="3" t="s">
        <v>28</v>
      </c>
      <c r="B18" s="24"/>
      <c r="C18" s="24"/>
      <c r="D18" s="24"/>
      <c r="E18" s="24"/>
      <c r="F18" s="25"/>
      <c r="G18" s="24"/>
      <c r="H18" s="11"/>
    </row>
    <row r="19" spans="1:13" ht="15" x14ac:dyDescent="0.25">
      <c r="A19" s="26" t="s">
        <v>17</v>
      </c>
      <c r="B19" s="27">
        <f>B20</f>
        <v>538450</v>
      </c>
      <c r="C19" s="27"/>
      <c r="D19" s="27"/>
      <c r="E19" s="27"/>
      <c r="F19" s="28"/>
      <c r="G19" s="27"/>
      <c r="H19" s="12">
        <v>0</v>
      </c>
      <c r="I19" s="12" t="b">
        <v>0</v>
      </c>
      <c r="J19" s="5">
        <v>2</v>
      </c>
    </row>
    <row r="20" spans="1:13" x14ac:dyDescent="0.2">
      <c r="A20" s="6" t="s">
        <v>18</v>
      </c>
      <c r="B20" s="13">
        <f>B21</f>
        <v>538450</v>
      </c>
      <c r="C20" s="13"/>
      <c r="D20" s="13"/>
      <c r="E20" s="13"/>
      <c r="F20" s="13"/>
      <c r="G20" s="13"/>
      <c r="H20" s="13">
        <v>0</v>
      </c>
      <c r="I20" s="13" t="b">
        <v>0</v>
      </c>
      <c r="J20" s="6">
        <v>3</v>
      </c>
    </row>
    <row r="21" spans="1:13" x14ac:dyDescent="0.2">
      <c r="A21" s="15" t="s">
        <v>29</v>
      </c>
      <c r="B21" s="32">
        <v>538450</v>
      </c>
      <c r="C21" s="32"/>
      <c r="D21" s="32"/>
      <c r="E21" s="32"/>
      <c r="F21" s="33"/>
      <c r="G21" s="32"/>
      <c r="H21" s="31">
        <v>0</v>
      </c>
      <c r="J21" s="6"/>
      <c r="M21" s="3" t="s">
        <v>32</v>
      </c>
    </row>
    <row r="22" spans="1:13" x14ac:dyDescent="0.2">
      <c r="A22" s="3" t="s">
        <v>27</v>
      </c>
      <c r="B22" s="11">
        <f>D12*0.05</f>
        <v>7261222.5</v>
      </c>
      <c r="M22" s="3" t="s">
        <v>33</v>
      </c>
    </row>
    <row r="24" spans="1:13" ht="15" x14ac:dyDescent="0.25">
      <c r="A24" s="36" t="s">
        <v>25</v>
      </c>
      <c r="B24" s="37"/>
      <c r="C24" s="37"/>
      <c r="D24" s="37"/>
      <c r="E24" s="37"/>
      <c r="F24" s="37"/>
      <c r="G24" s="38">
        <f>G11*0.75</f>
        <v>162455000.25</v>
      </c>
    </row>
    <row r="25" spans="1:13" ht="15" x14ac:dyDescent="0.25">
      <c r="A25" s="3"/>
      <c r="B25" s="39"/>
      <c r="C25" s="39"/>
      <c r="D25" s="39"/>
      <c r="E25" s="39"/>
      <c r="F25" s="39"/>
      <c r="G25" s="40"/>
    </row>
    <row r="26" spans="1:13" x14ac:dyDescent="0.2">
      <c r="A26" s="3" t="s">
        <v>24</v>
      </c>
      <c r="G26" s="11">
        <f>324910*500</f>
        <v>162455000</v>
      </c>
    </row>
    <row r="27" spans="1:13" x14ac:dyDescent="0.2">
      <c r="A27" s="3" t="s">
        <v>30</v>
      </c>
      <c r="G27" s="11">
        <f>D12*0.75</f>
        <v>108918337.5</v>
      </c>
      <c r="M27" s="11">
        <f>G27+G28</f>
        <v>162455000</v>
      </c>
    </row>
    <row r="28" spans="1:13" x14ac:dyDescent="0.2">
      <c r="A28" s="3" t="s">
        <v>36</v>
      </c>
      <c r="B28" s="11"/>
      <c r="G28" s="11">
        <f>G26-G27</f>
        <v>53536662.5</v>
      </c>
    </row>
    <row r="33" spans="1:13" x14ac:dyDescent="0.2">
      <c r="A33" s="41" t="s">
        <v>35</v>
      </c>
    </row>
    <row r="34" spans="1:13" x14ac:dyDescent="0.2">
      <c r="B34" s="35" t="s">
        <v>20</v>
      </c>
      <c r="C34" s="14">
        <v>2017</v>
      </c>
      <c r="D34">
        <v>2018</v>
      </c>
      <c r="E34">
        <v>2019</v>
      </c>
      <c r="F34">
        <v>2020</v>
      </c>
    </row>
    <row r="35" spans="1:13" x14ac:dyDescent="0.2">
      <c r="B35" s="14"/>
      <c r="C35" s="14"/>
    </row>
    <row r="36" spans="1:13" ht="13.5" thickBot="1" x14ac:dyDescent="0.25">
      <c r="A36" s="1" t="s">
        <v>0</v>
      </c>
      <c r="B36" s="29" t="s">
        <v>1</v>
      </c>
      <c r="C36" s="29" t="s">
        <v>2</v>
      </c>
      <c r="D36" s="29" t="s">
        <v>3</v>
      </c>
      <c r="E36" s="29" t="s">
        <v>4</v>
      </c>
      <c r="F36" s="30" t="s">
        <v>5</v>
      </c>
      <c r="G36" s="1" t="s">
        <v>6</v>
      </c>
      <c r="H36" s="1" t="s">
        <v>7</v>
      </c>
      <c r="I36" s="1" t="s">
        <v>8</v>
      </c>
      <c r="J36" s="1" t="s">
        <v>9</v>
      </c>
      <c r="M36" s="1" t="s">
        <v>21</v>
      </c>
    </row>
    <row r="37" spans="1:13" ht="18" x14ac:dyDescent="0.25">
      <c r="A37" s="18" t="s">
        <v>10</v>
      </c>
      <c r="B37" s="19">
        <f>B38+B46</f>
        <v>71920666.5</v>
      </c>
      <c r="C37" s="19"/>
      <c r="D37" s="19">
        <f>D38+D46</f>
        <v>145224450</v>
      </c>
      <c r="E37" s="19"/>
      <c r="F37" s="20"/>
      <c r="G37" s="19">
        <f>SUM(B37:F37)</f>
        <v>217145116.5</v>
      </c>
      <c r="H37" s="7" t="e">
        <f>H38+H46</f>
        <v>#REF!</v>
      </c>
      <c r="I37" s="7" t="b">
        <v>0</v>
      </c>
      <c r="J37">
        <v>1</v>
      </c>
    </row>
    <row r="38" spans="1:13" ht="15" x14ac:dyDescent="0.25">
      <c r="A38" s="21" t="s">
        <v>11</v>
      </c>
      <c r="B38" s="22">
        <f>B39</f>
        <v>71382216.5</v>
      </c>
      <c r="C38" s="22"/>
      <c r="D38" s="22">
        <f>D39</f>
        <v>145224450</v>
      </c>
      <c r="E38" s="22"/>
      <c r="F38" s="23"/>
      <c r="G38" s="23">
        <f t="shared" ref="G38:G39" si="1">SUM(B38:F38)</f>
        <v>216606666.5</v>
      </c>
      <c r="H38" s="8" t="e">
        <f>H39+#REF!</f>
        <v>#REF!</v>
      </c>
      <c r="I38" s="8" t="b">
        <v>0</v>
      </c>
      <c r="J38">
        <v>2</v>
      </c>
    </row>
    <row r="39" spans="1:13" x14ac:dyDescent="0.2">
      <c r="A39" s="4" t="s">
        <v>12</v>
      </c>
      <c r="B39" s="9">
        <f>B41+B44</f>
        <v>71382216.5</v>
      </c>
      <c r="C39" s="9"/>
      <c r="D39" s="9">
        <f>D42</f>
        <v>145224450</v>
      </c>
      <c r="E39" s="9"/>
      <c r="F39" s="16"/>
      <c r="G39" s="16">
        <f t="shared" si="1"/>
        <v>216606666.5</v>
      </c>
      <c r="H39" s="9" t="e">
        <f>H40+#REF!</f>
        <v>#REF!</v>
      </c>
      <c r="I39" s="9" t="b">
        <v>0</v>
      </c>
      <c r="J39">
        <v>3</v>
      </c>
    </row>
    <row r="40" spans="1:13" x14ac:dyDescent="0.2">
      <c r="A40" s="2" t="s">
        <v>13</v>
      </c>
      <c r="B40" s="10"/>
      <c r="C40" s="10"/>
      <c r="D40" s="10"/>
      <c r="E40" s="10"/>
      <c r="F40" s="17"/>
      <c r="G40" s="10"/>
      <c r="H40" s="10">
        <f>SUM(H41:H44)</f>
        <v>0</v>
      </c>
      <c r="I40" s="10" t="b">
        <v>0</v>
      </c>
      <c r="J40">
        <v>4</v>
      </c>
    </row>
    <row r="41" spans="1:13" x14ac:dyDescent="0.2">
      <c r="A41" s="3" t="s">
        <v>14</v>
      </c>
      <c r="B41" s="24">
        <v>64120994</v>
      </c>
      <c r="C41" s="24"/>
      <c r="D41" s="24"/>
      <c r="E41" s="24"/>
      <c r="F41" s="25"/>
      <c r="G41" s="24"/>
      <c r="H41" s="11">
        <v>0</v>
      </c>
      <c r="I41" t="b">
        <v>0</v>
      </c>
      <c r="J41">
        <v>5</v>
      </c>
      <c r="M41" s="3" t="s">
        <v>31</v>
      </c>
    </row>
    <row r="42" spans="1:13" x14ac:dyDescent="0.2">
      <c r="A42" s="3" t="s">
        <v>15</v>
      </c>
      <c r="B42" s="24"/>
      <c r="C42" s="24"/>
      <c r="D42" s="24">
        <v>145224450</v>
      </c>
      <c r="E42" s="24"/>
      <c r="F42" s="25"/>
      <c r="G42" s="24"/>
      <c r="H42" s="11">
        <v>0</v>
      </c>
      <c r="I42" t="b">
        <v>0</v>
      </c>
      <c r="J42">
        <v>5</v>
      </c>
      <c r="M42" s="3" t="s">
        <v>22</v>
      </c>
    </row>
    <row r="43" spans="1:13" x14ac:dyDescent="0.2">
      <c r="A43" s="3" t="s">
        <v>16</v>
      </c>
      <c r="B43" s="24"/>
      <c r="C43" s="24"/>
      <c r="D43" s="24"/>
      <c r="E43" s="24"/>
      <c r="F43" s="25"/>
      <c r="G43" s="24"/>
      <c r="H43" s="11">
        <v>0</v>
      </c>
      <c r="I43" t="b">
        <v>0</v>
      </c>
      <c r="J43">
        <v>5</v>
      </c>
    </row>
    <row r="44" spans="1:13" x14ac:dyDescent="0.2">
      <c r="A44" s="3" t="s">
        <v>27</v>
      </c>
      <c r="B44" s="24">
        <v>7261222.5</v>
      </c>
      <c r="C44" s="24"/>
      <c r="D44" s="24"/>
      <c r="E44" s="24"/>
      <c r="F44" s="25"/>
      <c r="G44" s="24"/>
      <c r="H44" s="11">
        <v>0</v>
      </c>
      <c r="I44" t="b">
        <v>0</v>
      </c>
      <c r="J44">
        <v>5</v>
      </c>
    </row>
    <row r="45" spans="1:13" x14ac:dyDescent="0.2">
      <c r="A45" s="3" t="s">
        <v>28</v>
      </c>
      <c r="B45" s="24"/>
      <c r="C45" s="24"/>
      <c r="D45" s="24"/>
      <c r="E45" s="24"/>
      <c r="F45" s="25"/>
      <c r="G45" s="24"/>
      <c r="H45" s="11"/>
    </row>
    <row r="46" spans="1:13" ht="15" x14ac:dyDescent="0.25">
      <c r="A46" s="26" t="s">
        <v>17</v>
      </c>
      <c r="B46" s="27">
        <f>B47</f>
        <v>538450</v>
      </c>
      <c r="C46" s="27"/>
      <c r="D46" s="27"/>
      <c r="E46" s="27"/>
      <c r="F46" s="28"/>
      <c r="G46" s="27"/>
      <c r="H46" s="12">
        <v>0</v>
      </c>
      <c r="I46" s="12" t="b">
        <v>0</v>
      </c>
      <c r="J46" s="5">
        <v>2</v>
      </c>
    </row>
    <row r="47" spans="1:13" x14ac:dyDescent="0.2">
      <c r="A47" s="6" t="s">
        <v>18</v>
      </c>
      <c r="B47" s="13">
        <f>B48</f>
        <v>538450</v>
      </c>
      <c r="C47" s="13"/>
      <c r="D47" s="13"/>
      <c r="E47" s="13"/>
      <c r="F47" s="13"/>
      <c r="G47" s="13"/>
      <c r="H47" s="13">
        <v>0</v>
      </c>
      <c r="I47" s="13" t="b">
        <v>0</v>
      </c>
      <c r="J47" s="6">
        <v>3</v>
      </c>
    </row>
    <row r="48" spans="1:13" x14ac:dyDescent="0.2">
      <c r="A48" s="15" t="s">
        <v>29</v>
      </c>
      <c r="B48" s="32">
        <v>538450</v>
      </c>
      <c r="C48" s="32"/>
      <c r="D48" s="32"/>
      <c r="E48" s="32"/>
      <c r="F48" s="33"/>
      <c r="G48" s="32"/>
      <c r="H48" s="31">
        <v>0</v>
      </c>
      <c r="J48" s="6"/>
      <c r="M48" s="3" t="s">
        <v>32</v>
      </c>
    </row>
    <row r="49" spans="1:13" x14ac:dyDescent="0.2">
      <c r="A49" s="3" t="s">
        <v>27</v>
      </c>
      <c r="B49" s="11">
        <v>0</v>
      </c>
      <c r="M49" s="3" t="s">
        <v>33</v>
      </c>
    </row>
    <row r="51" spans="1:13" ht="15" x14ac:dyDescent="0.25">
      <c r="A51" s="36" t="s">
        <v>25</v>
      </c>
      <c r="B51" s="37"/>
      <c r="C51" s="37"/>
      <c r="D51" s="37"/>
      <c r="E51" s="37"/>
      <c r="F51" s="37"/>
      <c r="G51" s="38">
        <f>G38*0.75</f>
        <v>162454999.875</v>
      </c>
    </row>
    <row r="52" spans="1:13" ht="15" x14ac:dyDescent="0.25">
      <c r="A52" s="3"/>
      <c r="B52" s="39"/>
      <c r="C52" s="39"/>
      <c r="D52" s="39"/>
      <c r="E52" s="39"/>
      <c r="F52" s="39"/>
      <c r="G52" s="40"/>
    </row>
    <row r="53" spans="1:13" x14ac:dyDescent="0.2">
      <c r="A53" s="3" t="s">
        <v>24</v>
      </c>
      <c r="G53" s="11">
        <f>324910*500</f>
        <v>162455000</v>
      </c>
    </row>
    <row r="54" spans="1:13" x14ac:dyDescent="0.2">
      <c r="A54" s="3" t="s">
        <v>30</v>
      </c>
      <c r="G54" s="11">
        <f>D39*0.75</f>
        <v>108918337.5</v>
      </c>
      <c r="M54" s="11">
        <f>G54+G55+G56</f>
        <v>162455000</v>
      </c>
    </row>
    <row r="55" spans="1:13" x14ac:dyDescent="0.2">
      <c r="A55" s="3" t="s">
        <v>36</v>
      </c>
      <c r="B55" s="11"/>
      <c r="G55" s="11">
        <f>G53-G54-G56</f>
        <v>48090745.625</v>
      </c>
    </row>
    <row r="56" spans="1:13" x14ac:dyDescent="0.2">
      <c r="A56" s="3" t="s">
        <v>37</v>
      </c>
      <c r="G56" s="11">
        <f>7261222.5*0.75</f>
        <v>5445916.875</v>
      </c>
    </row>
  </sheetData>
  <pageMargins left="0.70866141732283472" right="0.70866141732283472" top="0.78740157480314965" bottom="0.78740157480314965" header="0.31496062992125984" footer="0.31496062992125984"/>
  <pageSetup paperSize="9" scale="6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Plán čerpání dotace 042017</vt:lpstr>
      <vt:lpstr>Rozpočet celkem</vt:lpstr>
      <vt:lpstr>Export dle 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Heisigová Martina</dc:creator>
  <cp:lastModifiedBy>Heisigová Martina</cp:lastModifiedBy>
  <cp:lastPrinted>2017-05-22T12:38:20Z</cp:lastPrinted>
  <dcterms:created xsi:type="dcterms:W3CDTF">2016-06-02T12:43:43Z</dcterms:created>
  <dcterms:modified xsi:type="dcterms:W3CDTF">2017-07-26T06:18:20Z</dcterms:modified>
</cp:coreProperties>
</file>