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\PROGRAMY_2021\ZP_EVVO_2021\ZP_EVVO_2021_RMO\"/>
    </mc:Choice>
  </mc:AlternateContent>
  <bookViews>
    <workbookView xWindow="6525" yWindow="1740" windowWidth="8835" windowHeight="6555"/>
  </bookViews>
  <sheets>
    <sheet name="ZP1_21" sheetId="17" r:id="rId1"/>
    <sheet name="ZP2_21" sheetId="18" r:id="rId2"/>
    <sheet name="ZP3_21" sheetId="19" r:id="rId3"/>
  </sheets>
  <definedNames>
    <definedName name="_COP1">#REF!</definedName>
    <definedName name="_COP2">#REF!</definedName>
    <definedName name="_COP3">#REF!</definedName>
    <definedName name="_COP4">#REF!</definedName>
    <definedName name="_COP5">#REF!</definedName>
    <definedName name="_COP6">#REF!</definedName>
    <definedName name="_KOR1">#REF!</definedName>
    <definedName name="_KOR2">#REF!</definedName>
    <definedName name="_KOR3">#REF!</definedName>
    <definedName name="_KOR6">#REF!</definedName>
    <definedName name="_KRI1">#REF!</definedName>
    <definedName name="_KRI3">#REF!</definedName>
    <definedName name="_KRI4">#REF!</definedName>
    <definedName name="_KUS1">#REF!</definedName>
    <definedName name="_KUS2">#REF!</definedName>
    <definedName name="_KUS3">#REF!</definedName>
    <definedName name="_KUS4">#REF!</definedName>
    <definedName name="_KUS5">#REF!</definedName>
    <definedName name="_KUS6">#REF!</definedName>
    <definedName name="_KUS7">#REF!</definedName>
    <definedName name="_MUM2">#REF!</definedName>
    <definedName name="_NAC1">#REF!</definedName>
    <definedName name="_NAC2">#REF!</definedName>
    <definedName name="_NAC3">#REF!</definedName>
    <definedName name="_NAC4">#REF!</definedName>
    <definedName name="_NAC5">#REF!</definedName>
    <definedName name="_NAC6">#REF!</definedName>
    <definedName name="_NIC1">#REF!</definedName>
    <definedName name="_NIC2">#REF!</definedName>
    <definedName name="_NIC4">#REF!</definedName>
    <definedName name="_NIC5">#REF!</definedName>
    <definedName name="_NIC6">#REF!</definedName>
    <definedName name="_NIC8">#REF!</definedName>
    <definedName name="_NO1">ZP2_21!$S$4</definedName>
    <definedName name="_NO2">ZP2_21!$U$4</definedName>
    <definedName name="_NO3">ZP2_21!$W$4</definedName>
    <definedName name="_NO4">ZP2_21!$Y$4</definedName>
    <definedName name="_NO5">ZP2_21!$AA$4</definedName>
    <definedName name="_PRO1">#REF!</definedName>
    <definedName name="_PRO2">#REF!</definedName>
    <definedName name="_PRO3">#REF!</definedName>
    <definedName name="_PRO4">#REF!</definedName>
    <definedName name="_PUS1">#REF!</definedName>
    <definedName name="_PUS2">#REF!</definedName>
    <definedName name="_PUS3">#REF!</definedName>
    <definedName name="_PUS4">#REF!</definedName>
    <definedName name="_PUS7">#REF!</definedName>
    <definedName name="_REV1">#REF!</definedName>
    <definedName name="_REV2">#REF!</definedName>
    <definedName name="_REV3">#REF!</definedName>
    <definedName name="_RUP4">#REF!</definedName>
    <definedName name="_RUP6">#REF!</definedName>
    <definedName name="_RUP8">#REF!</definedName>
    <definedName name="_ZP1">ZP3_21!$S$4</definedName>
    <definedName name="_ZP2">ZP3_21!$U$4</definedName>
    <definedName name="_ZP3">ZP3_21!$W$4</definedName>
    <definedName name="_ZP4">ZP3_21!$Y$4</definedName>
    <definedName name="_ZP5">ZP3_21!#REF!</definedName>
    <definedName name="_ZP6">ZP3_21!#REF!</definedName>
    <definedName name="CTVRTE">#REF!</definedName>
    <definedName name="DRUHE">#REF!</definedName>
    <definedName name="EVVO">ZP1_21!$T$4</definedName>
    <definedName name="Evvo1">ZP1_21!$R$4</definedName>
    <definedName name="EVVO12">ZP1_21!$T$4</definedName>
    <definedName name="EVVO2">ZP1_21!$T$4</definedName>
    <definedName name="Evvo3">ZP1_21!$V$4</definedName>
    <definedName name="Evvo4">ZP1_21!$X$4</definedName>
    <definedName name="Evvo5">ZP1_21!#REF!</definedName>
    <definedName name="Evvo6">ZP1_21!$Z$4</definedName>
    <definedName name="kkkk">#REF!</definedName>
    <definedName name="KOM">#REF!</definedName>
    <definedName name="KRI5A">#REF!</definedName>
    <definedName name="KRI5B">#REF!</definedName>
    <definedName name="PRO">#REF!</definedName>
    <definedName name="PRVNI">#REF!</definedName>
    <definedName name="TRETI">#REF!</definedName>
    <definedName name="ZAC1">#REF!</definedName>
    <definedName name="ZAC2">#REF!</definedName>
    <definedName name="ZAC3">#REF!</definedName>
    <definedName name="ZAC4">#REF!</definedName>
    <definedName name="ZAC5">#REF!</definedName>
    <definedName name="ZAC6">#REF!</definedName>
  </definedNames>
  <calcPr calcId="152511"/>
</workbook>
</file>

<file path=xl/calcChain.xml><?xml version="1.0" encoding="utf-8"?>
<calcChain xmlns="http://schemas.openxmlformats.org/spreadsheetml/2006/main">
  <c r="M9" i="19" l="1"/>
  <c r="E23" i="17" s="1"/>
  <c r="M8" i="18"/>
  <c r="E22" i="17" s="1"/>
  <c r="L13" i="17"/>
  <c r="E21" i="17" s="1"/>
  <c r="E25" i="17" l="1"/>
  <c r="E27" i="17" s="1"/>
  <c r="X6" i="19"/>
  <c r="V6" i="19"/>
  <c r="T6" i="19"/>
  <c r="R6" i="19"/>
  <c r="X5" i="19"/>
  <c r="V5" i="19"/>
  <c r="T5" i="19"/>
  <c r="R5" i="19"/>
  <c r="X8" i="19"/>
  <c r="V8" i="19"/>
  <c r="T8" i="19"/>
  <c r="R8" i="19"/>
  <c r="X7" i="19"/>
  <c r="V7" i="19"/>
  <c r="T7" i="19"/>
  <c r="R7" i="19"/>
  <c r="Z5" i="18"/>
  <c r="X5" i="18"/>
  <c r="V5" i="18"/>
  <c r="T5" i="18"/>
  <c r="Z6" i="18"/>
  <c r="X6" i="18"/>
  <c r="V6" i="18"/>
  <c r="T6" i="18"/>
  <c r="Z7" i="18"/>
  <c r="X7" i="18"/>
  <c r="V7" i="18"/>
  <c r="T7" i="18"/>
  <c r="W8" i="17"/>
  <c r="U8" i="17"/>
  <c r="S8" i="17"/>
  <c r="W9" i="17"/>
  <c r="U9" i="17"/>
  <c r="S9" i="17"/>
  <c r="W11" i="17"/>
  <c r="U11" i="17"/>
  <c r="S11" i="17"/>
  <c r="U5" i="17"/>
  <c r="S5" i="17"/>
  <c r="W5" i="17"/>
  <c r="W10" i="17"/>
  <c r="U10" i="17"/>
  <c r="S10" i="17"/>
  <c r="W6" i="17"/>
  <c r="U6" i="17"/>
  <c r="S6" i="17"/>
  <c r="W7" i="17"/>
  <c r="U7" i="17"/>
  <c r="S7" i="17"/>
  <c r="X9" i="17" l="1"/>
  <c r="V9" i="17"/>
  <c r="T9" i="17"/>
  <c r="Z9" i="17"/>
  <c r="R9" i="17"/>
  <c r="AA9" i="17" l="1"/>
  <c r="Y5" i="19" l="1"/>
  <c r="W5" i="19"/>
  <c r="U5" i="19"/>
  <c r="S5" i="19"/>
  <c r="AB5" i="19" l="1"/>
  <c r="K9" i="19"/>
  <c r="D23" i="17" s="1"/>
  <c r="K8" i="18"/>
  <c r="D22" i="17" s="1"/>
  <c r="J13" i="17"/>
  <c r="D21" i="17" s="1"/>
  <c r="D25" i="17" l="1"/>
  <c r="D27" i="17" s="1"/>
  <c r="S8" i="19"/>
  <c r="U8" i="19"/>
  <c r="W8" i="19"/>
  <c r="Y8" i="19"/>
  <c r="S6" i="19"/>
  <c r="U6" i="19"/>
  <c r="W6" i="19"/>
  <c r="Y6" i="19"/>
  <c r="U7" i="19"/>
  <c r="W7" i="19"/>
  <c r="Y7" i="19"/>
  <c r="AB6" i="19" l="1"/>
  <c r="AB8" i="19"/>
  <c r="S7" i="19"/>
  <c r="AB7" i="19" l="1"/>
  <c r="S6" i="18"/>
  <c r="U6" i="18"/>
  <c r="W6" i="18"/>
  <c r="Y6" i="18"/>
  <c r="AA6" i="18"/>
  <c r="S5" i="18"/>
  <c r="U5" i="18"/>
  <c r="W5" i="18"/>
  <c r="Y5" i="18"/>
  <c r="AA5" i="18"/>
  <c r="R6" i="17"/>
  <c r="T6" i="17"/>
  <c r="V6" i="17"/>
  <c r="X6" i="17"/>
  <c r="Z6" i="17"/>
  <c r="R10" i="17"/>
  <c r="T10" i="17"/>
  <c r="V10" i="17"/>
  <c r="X10" i="17"/>
  <c r="Z10" i="17"/>
  <c r="R5" i="17"/>
  <c r="T5" i="17"/>
  <c r="V5" i="17"/>
  <c r="X5" i="17"/>
  <c r="Z5" i="17"/>
  <c r="R11" i="17"/>
  <c r="T11" i="17"/>
  <c r="V11" i="17"/>
  <c r="X11" i="17"/>
  <c r="Z11" i="17"/>
  <c r="R8" i="17"/>
  <c r="T8" i="17"/>
  <c r="V8" i="17"/>
  <c r="X8" i="17"/>
  <c r="Z8" i="17"/>
  <c r="AA5" i="17" l="1"/>
  <c r="AA8" i="17"/>
  <c r="AA11" i="17"/>
  <c r="AA10" i="17"/>
  <c r="AA6" i="17"/>
  <c r="AB5" i="18"/>
  <c r="AB6" i="18"/>
  <c r="Z7" i="17"/>
  <c r="X7" i="17"/>
  <c r="V7" i="17"/>
  <c r="T7" i="17"/>
  <c r="R7" i="17"/>
  <c r="AA7" i="17" l="1"/>
  <c r="AA7" i="18" l="1"/>
  <c r="Y7" i="18"/>
  <c r="W7" i="18"/>
  <c r="U7" i="18"/>
  <c r="S7" i="18"/>
  <c r="AB7" i="18" l="1"/>
</calcChain>
</file>

<file path=xl/sharedStrings.xml><?xml version="1.0" encoding="utf-8"?>
<sst xmlns="http://schemas.openxmlformats.org/spreadsheetml/2006/main" count="282" uniqueCount="157">
  <si>
    <t>Evidenční číslo</t>
  </si>
  <si>
    <t>Žadatel</t>
  </si>
  <si>
    <t>Název projektu</t>
  </si>
  <si>
    <t>Žádost</t>
  </si>
  <si>
    <t>Finanční prostředky SMO určené pro daný program</t>
  </si>
  <si>
    <t>Body přidělené MMO</t>
  </si>
  <si>
    <t>Přepočtené body dle váhy kritéria</t>
  </si>
  <si>
    <t>Přepočtené body MMO dle váhy kritéria</t>
  </si>
  <si>
    <t>Váha</t>
  </si>
  <si>
    <t>Součet bodů</t>
  </si>
  <si>
    <t xml:space="preserve">Požadovaná dotace </t>
  </si>
  <si>
    <t>Navržená dotace od SMO</t>
  </si>
  <si>
    <t>Součet                                            -                                 požadovaná dotace</t>
  </si>
  <si>
    <t>Kritérium 1                                                                 Velikost a složení cílové skupiny</t>
  </si>
  <si>
    <t>Kritérium 2                                                                 Význam a potřebnost projektu</t>
  </si>
  <si>
    <t>Kritérium 3                                                                 Spolupráce organizací na řešení projektu, zapojení veřejnosti</t>
  </si>
  <si>
    <t>Kritérium 1                                                                 Význam a potřebnost projektu</t>
  </si>
  <si>
    <t>Kritérium 4                                                                                                    Spolupráce organizací na řešení projektu, zapojení veřejnosti</t>
  </si>
  <si>
    <t>Kritérium 5                                                                                                    Předjednání záměru, odborný posudek</t>
  </si>
  <si>
    <t>Kritérium 6                                                                                                    Doložení potřebncýh dokumentů</t>
  </si>
  <si>
    <t>Kritérium 2                                                                 Celková kvalita projektu, pokračování/udržitelnost výstupů</t>
  </si>
  <si>
    <t>Kritérium 3                                                                 Dosavadní činnost žadatele v dané oblasti a její kvalita, odborná způsobilost, příklady řešených projektů</t>
  </si>
  <si>
    <t>Kritérium 3                                                                 Celková kvalita projektu, pokračování/udržitelnost výstupů</t>
  </si>
  <si>
    <t>Kritérium 4                                                                                                    Celková kvalita projektu, pokračování/udržitelnost výstupů</t>
  </si>
  <si>
    <t>Kritérium 5                                                                                                    Finanční spoluúčast žadatele</t>
  </si>
  <si>
    <r>
      <t xml:space="preserve">Finanční spoluúčast žadatele </t>
    </r>
    <r>
      <rPr>
        <b/>
        <sz val="9"/>
        <rFont val="Calibri"/>
        <family val="2"/>
        <charset val="238"/>
      </rPr>
      <t>[%]</t>
    </r>
  </si>
  <si>
    <t>Finanční spoluúčast žadatele  [%]</t>
  </si>
  <si>
    <t>Kritérium 5                                                                                                    Dosavadní činnost žadatele v dané oblasti a její kvalita, odborná způsobilost, příklady řešených projektů</t>
  </si>
  <si>
    <t>Kritérium 4                Hospodárnost a efektivita vynakládaných finančních prostředků</t>
  </si>
  <si>
    <t>Přepočtené   body dle váhy kritéria</t>
  </si>
  <si>
    <t>Body     přidělené    MMO</t>
  </si>
  <si>
    <t>ZP1/20  Podpora akcí a aktivit EVVO</t>
  </si>
  <si>
    <t>IČ/datum narození</t>
  </si>
  <si>
    <t>1a žádost</t>
  </si>
  <si>
    <t>1b žádost</t>
  </si>
  <si>
    <t>2a rozpočet</t>
  </si>
  <si>
    <t>ZP3/20  Podpora opatření ve prospěch životního prostředí</t>
  </si>
  <si>
    <t>ZP2/20  Podpora činnosti neziskových organizací zaměřených na EVVO a ochranu životního prostředí</t>
  </si>
  <si>
    <t>1c žádost</t>
  </si>
  <si>
    <t>2c rozpočet</t>
  </si>
  <si>
    <t>Adresa</t>
  </si>
  <si>
    <t xml:space="preserve">Formální hodnocení </t>
  </si>
  <si>
    <t>Hodnocení přijatelnosti</t>
  </si>
  <si>
    <t>Oprávněný žadatel</t>
  </si>
  <si>
    <t>Splnění účelu projektu</t>
  </si>
  <si>
    <t>Důvod krácení/vyřazení dotace</t>
  </si>
  <si>
    <t>Zdůvodnění krácení/nepřiznání dotace</t>
  </si>
  <si>
    <t>Spolek rodičů žáků ZŠ T.G. Masaryka Opava</t>
  </si>
  <si>
    <t>Riegrova 1385/13, 746 01, Opava</t>
  </si>
  <si>
    <t>Zahrada všemi smysly</t>
  </si>
  <si>
    <t>Školní statek, Opava, příspěvková organizace</t>
  </si>
  <si>
    <t>Englišova 526, 746 01, Opava</t>
  </si>
  <si>
    <t>Dny země a dny mláďat</t>
  </si>
  <si>
    <t>Český svaz Včelařů, z.s., základní organizace Stěbořice</t>
  </si>
  <si>
    <t>Stěbořice 28, 747 51, Stěbořice</t>
  </si>
  <si>
    <t>Biokoridor Vlaštovičky - výsadba krajinné zeleně</t>
  </si>
  <si>
    <t>Moravskoslezský spolek na ochranu zvířat</t>
  </si>
  <si>
    <t>U Švédské kaple 60, Opava-Kateřinky, 747 05</t>
  </si>
  <si>
    <t>Veterinární péče o týraná zvířata a pořízení odchytové tyče</t>
  </si>
  <si>
    <t>Spolek Ekolyceum</t>
  </si>
  <si>
    <t>0098752</t>
  </si>
  <si>
    <t>001</t>
  </si>
  <si>
    <t>002</t>
  </si>
  <si>
    <t>003</t>
  </si>
  <si>
    <t>005</t>
  </si>
  <si>
    <t>006</t>
  </si>
  <si>
    <t>Stará silnice 76, 747 07, Opava</t>
  </si>
  <si>
    <t>Okružní 3, 746 01, Opava - Vlaštovičky</t>
  </si>
  <si>
    <t>Biokoridor Vlaštovičky</t>
  </si>
  <si>
    <t>004</t>
  </si>
  <si>
    <t>00535583</t>
  </si>
  <si>
    <t>009</t>
  </si>
  <si>
    <t>Mgr. Petr Valeček</t>
  </si>
  <si>
    <t>010</t>
  </si>
  <si>
    <t>Zámecký okruh 29, 746 01, Opava</t>
  </si>
  <si>
    <t>008</t>
  </si>
  <si>
    <t>Za Opavu z.s.</t>
  </si>
  <si>
    <t>Ovocná 43, 746 01, Opava</t>
  </si>
  <si>
    <t>Krajiny města vnitřní i vnější</t>
  </si>
  <si>
    <t>011</t>
  </si>
  <si>
    <t>Jsme Yggdrasil, z.s.</t>
  </si>
  <si>
    <t>06750982</t>
  </si>
  <si>
    <t>náměstí Slezského odboje 2288/4, 746 01, Opava</t>
  </si>
  <si>
    <t>Festival oslavy bylin</t>
  </si>
  <si>
    <t>012</t>
  </si>
  <si>
    <t>02692716</t>
  </si>
  <si>
    <t>Boženy Němcové 1308/7</t>
  </si>
  <si>
    <t>Rozvoj  Lučního sadu</t>
  </si>
  <si>
    <t>013</t>
  </si>
  <si>
    <t>Zacpalova 379/27, 746 01, Opava</t>
  </si>
  <si>
    <t>2b rozpocet</t>
  </si>
  <si>
    <t>014</t>
  </si>
  <si>
    <t>Základní škola Labyrint Lhota s.r.o.</t>
  </si>
  <si>
    <t>05024706</t>
  </si>
  <si>
    <t>Komenského 135, 747 92, Háj ve Slezsku - Lhota</t>
  </si>
  <si>
    <t>Učíme se na poli</t>
  </si>
  <si>
    <t>007</t>
  </si>
  <si>
    <t>TJ Slavia Malé Hoštice, z.s.</t>
  </si>
  <si>
    <t>44941994</t>
  </si>
  <si>
    <t>Sportovní 485/3, Malé Hoštice, 747 05, Opava</t>
  </si>
  <si>
    <t>ANO</t>
  </si>
  <si>
    <t>Celkem:</t>
  </si>
  <si>
    <t>Celkem</t>
  </si>
  <si>
    <t>Celkový požadavek ZP a EVVO:</t>
  </si>
  <si>
    <t>Alokace:</t>
  </si>
  <si>
    <t>"Kapradí", spolek</t>
  </si>
  <si>
    <t>Byl předjednán - bude hodnocen</t>
  </si>
  <si>
    <t>Doloženo - bude hodnocen</t>
  </si>
  <si>
    <t>Sdružení hasičů Čech, Moravy a Slezska, Sbor dobrovolných hasičů Vlaštovičky</t>
  </si>
  <si>
    <t>Návrh komise:</t>
  </si>
  <si>
    <t>Žádost byla na základě věcné kontroly přeřazena ze ZP2 do ZP1</t>
  </si>
  <si>
    <t>ZP1/21  Podpora akcí a aktivit EVVO</t>
  </si>
  <si>
    <t>ZP2/21  Podpora činnosti neziskových organizací zaměřených na EVVO a ochranu životního prostředí</t>
  </si>
  <si>
    <t>ZP3/21  Podpora opatření ve prospěch životního prostředí</t>
  </si>
  <si>
    <t>Emise - světelné znečištění  a znečištěné ovzduší</t>
  </si>
  <si>
    <t>Slezské gymnázium, Opava, příspěvková organizace</t>
  </si>
  <si>
    <t>EUROTOPIA.CZ, o.p.s.</t>
  </si>
  <si>
    <t>Klub malých zahradníků</t>
  </si>
  <si>
    <t>Férová snídaně v Opavě 2021</t>
  </si>
  <si>
    <t>Výsadba stromů v lesoparku v Malých Hošticích III. etapa</t>
  </si>
  <si>
    <t>Údržba květné louky ve veřejném komunitním sadu a rozvoj její biodiverzity</t>
  </si>
  <si>
    <t xml:space="preserve"> </t>
  </si>
  <si>
    <t>Krácení kvůli nedostatku financí - viz dokument "Zdůvodnění hodnocení komise ŽP a EVVO 2021"</t>
  </si>
  <si>
    <t>Krácení kvůli nedostatku financí a nadhodnocení rozpočtu - viz dokument "Zdůvodnění hodnocení komise ŽP a EVVO 2021"</t>
  </si>
  <si>
    <t>Krácení kvůli nedostatečnému odůvodnění položek rozpočtu - viz dokument "Zdůvodnění hodnocení komise ŽP a EVVO 2021"</t>
  </si>
  <si>
    <t>Nepodpořen kvůli nedostatku financí - viz dokument "Zdůvodnění hodnocení komise ŽP a EVVO 2021"</t>
  </si>
  <si>
    <t>Krácení kvůli nedostatečnému zdůvodnění a nadhodnocení rozpočtu - viz dokument "Zdůvodnění hodnocení komise ŽP a EVVO 2021"</t>
  </si>
  <si>
    <t>010_ZP1_21_zadost</t>
  </si>
  <si>
    <t>010_ZP_21_rozpocet</t>
  </si>
  <si>
    <t>002_ZP1_21_zadost</t>
  </si>
  <si>
    <t>002_ZP1_21_rozpocet</t>
  </si>
  <si>
    <t>001_ZP1_21_zadost</t>
  </si>
  <si>
    <t>001_ZP1_21_rozpocet</t>
  </si>
  <si>
    <t>014_ZP1_21_zadost</t>
  </si>
  <si>
    <t>014_ZP1_21_rozpocet</t>
  </si>
  <si>
    <t>013_ZP1_21_zadost</t>
  </si>
  <si>
    <t>013_ZP1_21_rozpocet</t>
  </si>
  <si>
    <t>005_ZP1_21_zadost</t>
  </si>
  <si>
    <t>005_ZP1_21_rozpocet</t>
  </si>
  <si>
    <t>011_ZP1_21_zadost</t>
  </si>
  <si>
    <t>011_ZP1_21_rozpocet</t>
  </si>
  <si>
    <t>012_ZP2_21_zadost</t>
  </si>
  <si>
    <t>012_ZP2_21_rozpocet</t>
  </si>
  <si>
    <t>008_ZP2_21_zadost</t>
  </si>
  <si>
    <t>008_ZP2_21_rozpocet</t>
  </si>
  <si>
    <t>004_ZP2_21_zadost</t>
  </si>
  <si>
    <t>004_ZP2_21_rozpocet</t>
  </si>
  <si>
    <t>007_ZP3_21_zadost</t>
  </si>
  <si>
    <t>009_ZP3_21_zadost</t>
  </si>
  <si>
    <t>009_ZP3_21_rozpocet</t>
  </si>
  <si>
    <t>003_ZP3_21_zadost</t>
  </si>
  <si>
    <t>003_ZP3_21_rozpocet</t>
  </si>
  <si>
    <t>006_ZP3_21_zadost</t>
  </si>
  <si>
    <t>006_ZP3_21_rozpocet</t>
  </si>
  <si>
    <t>Podpořené projekty</t>
  </si>
  <si>
    <t>Nepodpořené projekty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</si>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</sst>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4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Arial"/>
      <family val="2"/>
      <charset val="238"/>
    </font>
    <font>
      <b/>
      <sz val="9"/>
      <name val="Calibri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7" fillId="0" borderId="0" xfId="0" applyFont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7" fillId="0" borderId="0" xfId="0" applyFont="1" applyBorder="1"/>
    <xf numFmtId="0" fontId="0" fillId="0" borderId="0" xfId="0" applyBorder="1" applyAlignment="1">
      <alignment horizontal="center" vertical="center"/>
    </xf>
    <xf numFmtId="0" fontId="10" fillId="0" borderId="0" xfId="0" applyFont="1" applyFill="1"/>
    <xf numFmtId="3" fontId="5" fillId="0" borderId="0" xfId="0" applyNumberFormat="1" applyFont="1" applyFill="1" applyBorder="1"/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0" fillId="0" borderId="0" xfId="0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Border="1"/>
    <xf numFmtId="3" fontId="5" fillId="0" borderId="0" xfId="0" applyNumberFormat="1" applyFont="1" applyBorder="1"/>
    <xf numFmtId="0" fontId="3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13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7" fillId="0" borderId="0" xfId="0" applyFont="1" applyFill="1"/>
    <xf numFmtId="0" fontId="18" fillId="6" borderId="11" xfId="0" applyFont="1" applyFill="1" applyBorder="1" applyAlignment="1">
      <alignment wrapText="1"/>
    </xf>
    <xf numFmtId="4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6" borderId="20" xfId="0" applyFont="1" applyFill="1" applyBorder="1"/>
    <xf numFmtId="0" fontId="8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Fill="1"/>
    <xf numFmtId="0" fontId="3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3" fontId="3" fillId="0" borderId="0" xfId="0" applyNumberFormat="1" applyFont="1" applyFill="1"/>
    <xf numFmtId="3" fontId="19" fillId="0" borderId="0" xfId="0" applyNumberFormat="1" applyFont="1" applyFill="1"/>
    <xf numFmtId="0" fontId="20" fillId="0" borderId="0" xfId="0" applyFont="1" applyFill="1" applyBorder="1" applyAlignment="1">
      <alignment horizontal="left" wrapText="1"/>
    </xf>
    <xf numFmtId="3" fontId="20" fillId="0" borderId="0" xfId="0" applyNumberFormat="1" applyFont="1" applyFill="1"/>
    <xf numFmtId="49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4" fillId="0" borderId="0" xfId="1" applyNumberFormat="1" applyFill="1" applyBorder="1" applyAlignment="1" applyProtection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wrapText="1"/>
    </xf>
    <xf numFmtId="0" fontId="8" fillId="0" borderId="0" xfId="0" applyFont="1" applyBorder="1" applyAlignment="1">
      <alignment horizontal="left"/>
    </xf>
    <xf numFmtId="0" fontId="6" fillId="2" borderId="19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3" fillId="7" borderId="0" xfId="0" applyFont="1" applyFill="1" applyBorder="1"/>
    <xf numFmtId="3" fontId="3" fillId="7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5" fillId="8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/>
    <xf numFmtId="49" fontId="1" fillId="9" borderId="2" xfId="0" applyNumberFormat="1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14" fontId="1" fillId="9" borderId="3" xfId="0" applyNumberFormat="1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left" vertical="center" wrapText="1"/>
    </xf>
    <xf numFmtId="10" fontId="0" fillId="9" borderId="4" xfId="0" applyNumberForma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11" fillId="9" borderId="2" xfId="0" applyNumberFormat="1" applyFont="1" applyFill="1" applyBorder="1"/>
    <xf numFmtId="3" fontId="3" fillId="9" borderId="2" xfId="0" applyNumberFormat="1" applyFont="1" applyFill="1" applyBorder="1" applyAlignment="1">
      <alignment vertical="center"/>
    </xf>
    <xf numFmtId="3" fontId="2" fillId="9" borderId="2" xfId="0" applyNumberFormat="1" applyFont="1" applyFill="1" applyBorder="1" applyAlignment="1">
      <alignment horizontal="center" vertical="center"/>
    </xf>
    <xf numFmtId="0" fontId="0" fillId="9" borderId="2" xfId="0" applyFill="1" applyBorder="1"/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/>
    <xf numFmtId="0" fontId="1" fillId="9" borderId="2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center" vertical="center" textRotation="90"/>
    </xf>
    <xf numFmtId="0" fontId="21" fillId="9" borderId="6" xfId="0" applyFont="1" applyFill="1" applyBorder="1" applyAlignment="1">
      <alignment horizontal="center" vertical="center" textRotation="90"/>
    </xf>
    <xf numFmtId="0" fontId="21" fillId="9" borderId="2" xfId="0" applyFont="1" applyFill="1" applyBorder="1" applyAlignment="1">
      <alignment horizontal="center" vertical="center" textRotation="90"/>
    </xf>
    <xf numFmtId="49" fontId="1" fillId="9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10" fontId="1" fillId="9" borderId="16" xfId="0" applyNumberFormat="1" applyFont="1" applyFill="1" applyBorder="1" applyAlignment="1">
      <alignment horizontal="center" vertical="center"/>
    </xf>
    <xf numFmtId="3" fontId="2" fillId="9" borderId="16" xfId="0" applyNumberFormat="1" applyFont="1" applyFill="1" applyBorder="1"/>
    <xf numFmtId="3" fontId="2" fillId="9" borderId="2" xfId="0" applyNumberFormat="1" applyFont="1" applyFill="1" applyBorder="1"/>
    <xf numFmtId="0" fontId="1" fillId="9" borderId="2" xfId="0" applyFont="1" applyFill="1" applyBorder="1"/>
    <xf numFmtId="0" fontId="5" fillId="9" borderId="2" xfId="0" applyFont="1" applyFill="1" applyBorder="1" applyAlignment="1">
      <alignment horizontal="center" vertical="center" wrapText="1"/>
    </xf>
    <xf numFmtId="3" fontId="2" fillId="9" borderId="2" xfId="0" applyNumberFormat="1" applyFont="1" applyFill="1" applyBorder="1" applyAlignment="1">
      <alignment horizontal="right" vertical="center"/>
    </xf>
    <xf numFmtId="0" fontId="21" fillId="9" borderId="6" xfId="0" applyFont="1" applyFill="1" applyBorder="1" applyAlignment="1">
      <alignment horizontal="center" textRotation="90"/>
    </xf>
    <xf numFmtId="0" fontId="21" fillId="9" borderId="5" xfId="0" applyFont="1" applyFill="1" applyBorder="1" applyAlignment="1">
      <alignment horizontal="center" textRotation="90"/>
    </xf>
    <xf numFmtId="0" fontId="21" fillId="9" borderId="2" xfId="0" applyFont="1" applyFill="1" applyBorder="1" applyAlignment="1">
      <alignment horizontal="center" textRotation="90"/>
    </xf>
    <xf numFmtId="49" fontId="15" fillId="9" borderId="2" xfId="0" applyNumberFormat="1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center" wrapText="1"/>
    </xf>
    <xf numFmtId="3" fontId="11" fillId="9" borderId="2" xfId="0" applyNumberFormat="1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12" fillId="9" borderId="2" xfId="0" applyNumberFormat="1" applyFont="1" applyFill="1" applyBorder="1" applyAlignment="1">
      <alignment horizontal="center" vertical="center" wrapText="1"/>
    </xf>
    <xf numFmtId="3" fontId="2" fillId="9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/>
    <xf numFmtId="0" fontId="7" fillId="9" borderId="2" xfId="0" applyFont="1" applyFill="1" applyBorder="1" applyAlignment="1">
      <alignment horizontal="right" wrapText="1"/>
    </xf>
    <xf numFmtId="0" fontId="7" fillId="9" borderId="2" xfId="0" applyFont="1" applyFill="1" applyBorder="1" applyAlignment="1">
      <alignment horizontal="left" wrapText="1"/>
    </xf>
    <xf numFmtId="49" fontId="15" fillId="9" borderId="2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center" vertical="center" wrapText="1"/>
    </xf>
    <xf numFmtId="10" fontId="1" fillId="8" borderId="16" xfId="0" applyNumberFormat="1" applyFont="1" applyFill="1" applyBorder="1" applyAlignment="1">
      <alignment horizontal="center" vertical="center"/>
    </xf>
    <xf numFmtId="3" fontId="11" fillId="8" borderId="2" xfId="0" applyNumberFormat="1" applyFont="1" applyFill="1" applyBorder="1" applyAlignment="1">
      <alignment horizontal="center" vertical="center" wrapText="1"/>
    </xf>
    <xf numFmtId="3" fontId="6" fillId="8" borderId="2" xfId="0" applyNumberFormat="1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/>
    <xf numFmtId="0" fontId="7" fillId="8" borderId="2" xfId="0" applyFont="1" applyFill="1" applyBorder="1" applyAlignment="1">
      <alignment horizontal="right" wrapText="1"/>
    </xf>
    <xf numFmtId="0" fontId="7" fillId="8" borderId="2" xfId="0" applyFont="1" applyFill="1" applyBorder="1" applyAlignment="1">
      <alignment horizontal="left" wrapText="1"/>
    </xf>
    <xf numFmtId="49" fontId="15" fillId="8" borderId="2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textRotation="90" wrapText="1"/>
    </xf>
    <xf numFmtId="0" fontId="21" fillId="8" borderId="2" xfId="0" applyFont="1" applyFill="1" applyBorder="1" applyAlignment="1">
      <alignment horizontal="center" textRotation="90" wrapText="1"/>
    </xf>
    <xf numFmtId="10" fontId="1" fillId="9" borderId="4" xfId="0" applyNumberFormat="1" applyFont="1" applyFill="1" applyBorder="1" applyAlignment="1">
      <alignment horizontal="center" vertical="center"/>
    </xf>
    <xf numFmtId="10" fontId="1" fillId="9" borderId="27" xfId="0" applyNumberFormat="1" applyFont="1" applyFill="1" applyBorder="1" applyAlignment="1">
      <alignment horizontal="center" vertical="center"/>
    </xf>
    <xf numFmtId="10" fontId="1" fillId="8" borderId="27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BW90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4" sqref="H14"/>
    </sheetView>
  </sheetViews>
  <sheetFormatPr defaultRowHeight="12.75" x14ac:dyDescent="0.2"/>
  <cols>
    <col min="1" max="1" width="11" customWidth="1"/>
    <col min="2" max="2" width="11.140625" style="7" customWidth="1"/>
    <col min="3" max="3" width="38.140625" style="5" customWidth="1"/>
    <col min="4" max="4" width="16.7109375" style="5" customWidth="1"/>
    <col min="5" max="5" width="27.7109375" style="5" customWidth="1"/>
    <col min="6" max="6" width="41.42578125" style="19" customWidth="1"/>
    <col min="7" max="7" width="16.5703125" style="11" customWidth="1"/>
    <col min="8" max="8" width="15.5703125" style="11" customWidth="1"/>
    <col min="9" max="9" width="11" style="5" customWidth="1"/>
    <col min="10" max="10" width="12" style="15" customWidth="1"/>
    <col min="11" max="11" width="12.42578125" style="14" hidden="1" customWidth="1"/>
    <col min="12" max="12" width="10.7109375" style="16" customWidth="1"/>
    <col min="13" max="13" width="10.7109375" style="17" hidden="1" customWidth="1"/>
    <col min="14" max="14" width="10.7109375" style="17" customWidth="1"/>
    <col min="15" max="15" width="12.42578125" style="17" customWidth="1"/>
    <col min="16" max="16" width="13" style="17" customWidth="1"/>
    <col min="17" max="17" width="13.5703125" style="5" customWidth="1"/>
    <col min="18" max="18" width="16.42578125" style="5" customWidth="1"/>
    <col min="19" max="19" width="12.7109375" style="5" customWidth="1"/>
    <col min="20" max="20" width="17.140625" style="5" customWidth="1"/>
    <col min="21" max="21" width="12.7109375" style="5" customWidth="1"/>
    <col min="22" max="22" width="16.5703125" style="5" customWidth="1"/>
    <col min="23" max="23" width="13" style="5" customWidth="1"/>
    <col min="24" max="26" width="14.140625" style="5" customWidth="1"/>
    <col min="27" max="27" width="9.140625" style="5" customWidth="1"/>
    <col min="28" max="28" width="28.140625" style="5" customWidth="1"/>
    <col min="29" max="43" width="9.140625" style="5" customWidth="1"/>
  </cols>
  <sheetData>
    <row r="1" spans="1:75" ht="17.25" customHeight="1" thickBot="1" x14ac:dyDescent="0.3">
      <c r="A1" s="91" t="s">
        <v>111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75" ht="47.25" customHeight="1" x14ac:dyDescent="0.2">
      <c r="B2" s="92" t="s">
        <v>0</v>
      </c>
      <c r="C2" s="88" t="s">
        <v>1</v>
      </c>
      <c r="D2" s="94" t="s">
        <v>32</v>
      </c>
      <c r="E2" s="94" t="s">
        <v>40</v>
      </c>
      <c r="F2" s="94" t="s">
        <v>2</v>
      </c>
      <c r="G2" s="96" t="s">
        <v>3</v>
      </c>
      <c r="H2" s="96"/>
      <c r="I2" s="88" t="s">
        <v>25</v>
      </c>
      <c r="J2" s="100" t="s">
        <v>10</v>
      </c>
      <c r="K2" s="102" t="s">
        <v>12</v>
      </c>
      <c r="L2" s="104" t="s">
        <v>11</v>
      </c>
      <c r="M2" s="106" t="s">
        <v>4</v>
      </c>
      <c r="N2" s="98" t="s">
        <v>41</v>
      </c>
      <c r="O2" s="108" t="s">
        <v>42</v>
      </c>
      <c r="P2" s="108"/>
      <c r="Q2" s="88" t="s">
        <v>13</v>
      </c>
      <c r="R2" s="88"/>
      <c r="S2" s="90" t="s">
        <v>14</v>
      </c>
      <c r="T2" s="90"/>
      <c r="U2" s="90" t="s">
        <v>15</v>
      </c>
      <c r="V2" s="90"/>
      <c r="W2" s="90" t="s">
        <v>23</v>
      </c>
      <c r="X2" s="90"/>
      <c r="Y2" s="88" t="s">
        <v>24</v>
      </c>
      <c r="Z2" s="88"/>
      <c r="AA2" s="88" t="s">
        <v>9</v>
      </c>
      <c r="AB2" s="86" t="s">
        <v>45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36.75" thickBot="1" x14ac:dyDescent="0.25">
      <c r="A3" s="5"/>
      <c r="B3" s="93"/>
      <c r="C3" s="89"/>
      <c r="D3" s="95"/>
      <c r="E3" s="95"/>
      <c r="F3" s="95"/>
      <c r="G3" s="24" t="s">
        <v>33</v>
      </c>
      <c r="H3" s="24" t="s">
        <v>35</v>
      </c>
      <c r="I3" s="97"/>
      <c r="J3" s="101"/>
      <c r="K3" s="103"/>
      <c r="L3" s="105"/>
      <c r="M3" s="107"/>
      <c r="N3" s="99"/>
      <c r="O3" s="25" t="s">
        <v>43</v>
      </c>
      <c r="P3" s="25" t="s">
        <v>44</v>
      </c>
      <c r="Q3" s="26" t="s">
        <v>5</v>
      </c>
      <c r="R3" s="27" t="s">
        <v>6</v>
      </c>
      <c r="S3" s="26" t="s">
        <v>5</v>
      </c>
      <c r="T3" s="27" t="s">
        <v>6</v>
      </c>
      <c r="U3" s="26" t="s">
        <v>5</v>
      </c>
      <c r="V3" s="27" t="s">
        <v>6</v>
      </c>
      <c r="W3" s="26" t="s">
        <v>5</v>
      </c>
      <c r="X3" s="27" t="s">
        <v>7</v>
      </c>
      <c r="Y3" s="26" t="s">
        <v>5</v>
      </c>
      <c r="Z3" s="27" t="s">
        <v>7</v>
      </c>
      <c r="AA3" s="89"/>
      <c r="AB3" s="87" t="s">
        <v>46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7.95" customHeight="1" thickBot="1" x14ac:dyDescent="0.25">
      <c r="A4" s="5"/>
      <c r="B4" s="28"/>
      <c r="C4" s="29"/>
      <c r="D4" s="29"/>
      <c r="E4" s="29"/>
      <c r="F4" s="29"/>
      <c r="G4" s="85"/>
      <c r="H4" s="84"/>
      <c r="I4" s="29"/>
      <c r="J4" s="29"/>
      <c r="K4" s="29"/>
      <c r="L4" s="29"/>
      <c r="M4" s="31"/>
      <c r="N4" s="31"/>
      <c r="O4" s="31"/>
      <c r="P4" s="31"/>
      <c r="Q4" s="32" t="s">
        <v>8</v>
      </c>
      <c r="R4" s="32">
        <v>0.1</v>
      </c>
      <c r="S4" s="32" t="s">
        <v>8</v>
      </c>
      <c r="T4" s="32">
        <v>0.3</v>
      </c>
      <c r="U4" s="32" t="s">
        <v>8</v>
      </c>
      <c r="V4" s="32">
        <v>0.2</v>
      </c>
      <c r="W4" s="33" t="s">
        <v>8</v>
      </c>
      <c r="X4" s="32">
        <v>0.3</v>
      </c>
      <c r="Y4" s="32" t="s">
        <v>8</v>
      </c>
      <c r="Z4" s="32">
        <v>0.1</v>
      </c>
      <c r="AA4" s="32"/>
      <c r="AB4" s="23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s="2" customFormat="1" ht="27.95" customHeight="1" x14ac:dyDescent="0.2">
      <c r="A5" s="154" t="s">
        <v>154</v>
      </c>
      <c r="B5" s="168" t="s">
        <v>73</v>
      </c>
      <c r="C5" s="169" t="s">
        <v>115</v>
      </c>
      <c r="D5" s="170">
        <v>47813075</v>
      </c>
      <c r="E5" s="170" t="s">
        <v>74</v>
      </c>
      <c r="F5" s="170" t="s">
        <v>114</v>
      </c>
      <c r="G5" s="198" t="s">
        <v>127</v>
      </c>
      <c r="H5" s="199" t="s">
        <v>128</v>
      </c>
      <c r="I5" s="195">
        <v>0.22</v>
      </c>
      <c r="J5" s="143">
        <v>40000</v>
      </c>
      <c r="K5" s="171"/>
      <c r="L5" s="172">
        <v>40000</v>
      </c>
      <c r="M5" s="173"/>
      <c r="N5" s="174" t="s">
        <v>100</v>
      </c>
      <c r="O5" s="174" t="s">
        <v>100</v>
      </c>
      <c r="P5" s="174" t="s">
        <v>100</v>
      </c>
      <c r="Q5" s="175">
        <v>5</v>
      </c>
      <c r="R5" s="175">
        <f t="shared" ref="R5:R11" si="0">(25*Q5*0.1)/5</f>
        <v>2.5</v>
      </c>
      <c r="S5" s="175">
        <f>5+5+5+4+4</f>
        <v>23</v>
      </c>
      <c r="T5" s="176">
        <f t="shared" ref="T5:T11" si="1">(25*S5*0.3)/5</f>
        <v>34.5</v>
      </c>
      <c r="U5" s="175">
        <f>5+5+5+5+3</f>
        <v>23</v>
      </c>
      <c r="V5" s="176">
        <f t="shared" ref="V5:V11" si="2">(25*U5*0.2)/5</f>
        <v>23</v>
      </c>
      <c r="W5" s="175">
        <f>5+5+5+4+4</f>
        <v>23</v>
      </c>
      <c r="X5" s="176">
        <f t="shared" ref="X5:X11" si="3">(25*W5*0.3)/5</f>
        <v>34.5</v>
      </c>
      <c r="Y5" s="176">
        <v>2</v>
      </c>
      <c r="Z5" s="176">
        <f t="shared" ref="Z5:Z11" si="4">(25*Y5*0.1)/5</f>
        <v>1</v>
      </c>
      <c r="AA5" s="150">
        <f t="shared" ref="AA5:AA11" si="5">R5+T5+V5+X5+Z5</f>
        <v>95.5</v>
      </c>
      <c r="AB5" s="177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75" s="2" customFormat="1" ht="25.5" x14ac:dyDescent="0.2">
      <c r="A6" s="155"/>
      <c r="B6" s="168" t="s">
        <v>62</v>
      </c>
      <c r="C6" s="169" t="s">
        <v>50</v>
      </c>
      <c r="D6" s="178" t="s">
        <v>60</v>
      </c>
      <c r="E6" s="170" t="s">
        <v>51</v>
      </c>
      <c r="F6" s="170" t="s">
        <v>52</v>
      </c>
      <c r="G6" s="198" t="s">
        <v>129</v>
      </c>
      <c r="H6" s="199" t="s">
        <v>130</v>
      </c>
      <c r="I6" s="196">
        <v>0.6</v>
      </c>
      <c r="J6" s="179">
        <v>40000</v>
      </c>
      <c r="K6" s="171"/>
      <c r="L6" s="172">
        <v>40000</v>
      </c>
      <c r="M6" s="173"/>
      <c r="N6" s="174" t="s">
        <v>100</v>
      </c>
      <c r="O6" s="174" t="s">
        <v>100</v>
      </c>
      <c r="P6" s="174" t="s">
        <v>100</v>
      </c>
      <c r="Q6" s="175">
        <v>5</v>
      </c>
      <c r="R6" s="175">
        <f t="shared" si="0"/>
        <v>2.5</v>
      </c>
      <c r="S6" s="175">
        <f>4+5+4+4+4</f>
        <v>21</v>
      </c>
      <c r="T6" s="176">
        <f t="shared" si="1"/>
        <v>31.5</v>
      </c>
      <c r="U6" s="175">
        <f>4+5+4+4+3</f>
        <v>20</v>
      </c>
      <c r="V6" s="176">
        <f t="shared" si="2"/>
        <v>20</v>
      </c>
      <c r="W6" s="175">
        <f>3+5+5+4+4</f>
        <v>21</v>
      </c>
      <c r="X6" s="176">
        <f t="shared" si="3"/>
        <v>31.5</v>
      </c>
      <c r="Y6" s="176">
        <v>5</v>
      </c>
      <c r="Z6" s="176">
        <f t="shared" si="4"/>
        <v>2.5</v>
      </c>
      <c r="AA6" s="150">
        <f t="shared" si="5"/>
        <v>88</v>
      </c>
      <c r="AB6" s="177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75" s="2" customFormat="1" ht="27" customHeight="1" x14ac:dyDescent="0.2">
      <c r="A7" s="155"/>
      <c r="B7" s="168" t="s">
        <v>61</v>
      </c>
      <c r="C7" s="169" t="s">
        <v>47</v>
      </c>
      <c r="D7" s="170">
        <v>6551271</v>
      </c>
      <c r="E7" s="170" t="s">
        <v>48</v>
      </c>
      <c r="F7" s="170" t="s">
        <v>49</v>
      </c>
      <c r="G7" s="198" t="s">
        <v>131</v>
      </c>
      <c r="H7" s="199" t="s">
        <v>132</v>
      </c>
      <c r="I7" s="196">
        <v>0.24</v>
      </c>
      <c r="J7" s="179">
        <v>40000</v>
      </c>
      <c r="K7" s="171"/>
      <c r="L7" s="172">
        <v>40000</v>
      </c>
      <c r="M7" s="173"/>
      <c r="N7" s="174" t="s">
        <v>100</v>
      </c>
      <c r="O7" s="174" t="s">
        <v>100</v>
      </c>
      <c r="P7" s="174" t="s">
        <v>100</v>
      </c>
      <c r="Q7" s="175">
        <v>5</v>
      </c>
      <c r="R7" s="175">
        <f t="shared" si="0"/>
        <v>2.5</v>
      </c>
      <c r="S7" s="162">
        <f>5+4+3+5+3</f>
        <v>20</v>
      </c>
      <c r="T7" s="176">
        <f t="shared" si="1"/>
        <v>30</v>
      </c>
      <c r="U7" s="175">
        <f>5+3+4+5+4</f>
        <v>21</v>
      </c>
      <c r="V7" s="176">
        <f t="shared" si="2"/>
        <v>21</v>
      </c>
      <c r="W7" s="162">
        <f>4+4+4+5+4</f>
        <v>21</v>
      </c>
      <c r="X7" s="176">
        <f t="shared" si="3"/>
        <v>31.5</v>
      </c>
      <c r="Y7" s="176">
        <v>2</v>
      </c>
      <c r="Z7" s="176">
        <f t="shared" si="4"/>
        <v>1</v>
      </c>
      <c r="AA7" s="150">
        <f t="shared" si="5"/>
        <v>86</v>
      </c>
      <c r="AB7" s="177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</row>
    <row r="8" spans="1:75" s="2" customFormat="1" ht="60" x14ac:dyDescent="0.2">
      <c r="A8" s="155"/>
      <c r="B8" s="168" t="s">
        <v>91</v>
      </c>
      <c r="C8" s="169" t="s">
        <v>92</v>
      </c>
      <c r="D8" s="178" t="s">
        <v>93</v>
      </c>
      <c r="E8" s="170" t="s">
        <v>94</v>
      </c>
      <c r="F8" s="170" t="s">
        <v>95</v>
      </c>
      <c r="G8" s="198" t="s">
        <v>133</v>
      </c>
      <c r="H8" s="199" t="s">
        <v>134</v>
      </c>
      <c r="I8" s="196">
        <v>0.2</v>
      </c>
      <c r="J8" s="179">
        <v>40000</v>
      </c>
      <c r="K8" s="171"/>
      <c r="L8" s="172">
        <v>30000</v>
      </c>
      <c r="M8" s="173"/>
      <c r="N8" s="174" t="s">
        <v>100</v>
      </c>
      <c r="O8" s="174" t="s">
        <v>100</v>
      </c>
      <c r="P8" s="174" t="s">
        <v>100</v>
      </c>
      <c r="Q8" s="175">
        <v>2</v>
      </c>
      <c r="R8" s="175">
        <f t="shared" si="0"/>
        <v>1</v>
      </c>
      <c r="S8" s="175">
        <f>5+4+4+4+3</f>
        <v>20</v>
      </c>
      <c r="T8" s="176">
        <f t="shared" si="1"/>
        <v>30</v>
      </c>
      <c r="U8" s="175">
        <f>5+4+4+4+3</f>
        <v>20</v>
      </c>
      <c r="V8" s="176">
        <f t="shared" si="2"/>
        <v>20</v>
      </c>
      <c r="W8" s="175">
        <f>4+3+5+3+4</f>
        <v>19</v>
      </c>
      <c r="X8" s="176">
        <f t="shared" si="3"/>
        <v>28.5</v>
      </c>
      <c r="Y8" s="176">
        <v>1</v>
      </c>
      <c r="Z8" s="176">
        <f t="shared" si="4"/>
        <v>0.5</v>
      </c>
      <c r="AA8" s="150">
        <f t="shared" si="5"/>
        <v>80</v>
      </c>
      <c r="AB8" s="177" t="s">
        <v>124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75" s="2" customFormat="1" ht="25.5" x14ac:dyDescent="0.2">
      <c r="A9" s="156"/>
      <c r="B9" s="168" t="s">
        <v>88</v>
      </c>
      <c r="C9" s="138" t="s">
        <v>116</v>
      </c>
      <c r="D9" s="163">
        <v>25852345</v>
      </c>
      <c r="E9" s="158" t="s">
        <v>89</v>
      </c>
      <c r="F9" s="158" t="s">
        <v>117</v>
      </c>
      <c r="G9" s="198" t="s">
        <v>135</v>
      </c>
      <c r="H9" s="199" t="s">
        <v>136</v>
      </c>
      <c r="I9" s="196">
        <v>0.49</v>
      </c>
      <c r="J9" s="179">
        <v>40000</v>
      </c>
      <c r="K9" s="171"/>
      <c r="L9" s="172">
        <v>40000</v>
      </c>
      <c r="M9" s="173"/>
      <c r="N9" s="174" t="s">
        <v>100</v>
      </c>
      <c r="O9" s="174" t="s">
        <v>100</v>
      </c>
      <c r="P9" s="174" t="s">
        <v>100</v>
      </c>
      <c r="Q9" s="175">
        <v>1</v>
      </c>
      <c r="R9" s="175">
        <f t="shared" si="0"/>
        <v>0.5</v>
      </c>
      <c r="S9" s="175">
        <f>5+3+4+5+3</f>
        <v>20</v>
      </c>
      <c r="T9" s="176">
        <f t="shared" si="1"/>
        <v>30</v>
      </c>
      <c r="U9" s="175">
        <f>4+3+4+5+2</f>
        <v>18</v>
      </c>
      <c r="V9" s="176">
        <f t="shared" si="2"/>
        <v>18</v>
      </c>
      <c r="W9" s="175">
        <f>4+3+4+5+3</f>
        <v>19</v>
      </c>
      <c r="X9" s="176">
        <f t="shared" si="3"/>
        <v>28.5</v>
      </c>
      <c r="Y9" s="176">
        <v>5</v>
      </c>
      <c r="Z9" s="176">
        <f t="shared" si="4"/>
        <v>2.5</v>
      </c>
      <c r="AA9" s="150">
        <f t="shared" si="5"/>
        <v>79.5</v>
      </c>
      <c r="AB9" s="177"/>
      <c r="AC9" s="4" t="s">
        <v>110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75" s="2" customFormat="1" ht="49.5" customHeight="1" x14ac:dyDescent="0.2">
      <c r="A10" s="193" t="s">
        <v>155</v>
      </c>
      <c r="B10" s="180" t="s">
        <v>64</v>
      </c>
      <c r="C10" s="181" t="s">
        <v>59</v>
      </c>
      <c r="D10" s="182">
        <v>27000346</v>
      </c>
      <c r="E10" s="182" t="s">
        <v>66</v>
      </c>
      <c r="F10" s="182" t="s">
        <v>118</v>
      </c>
      <c r="G10" s="200" t="s">
        <v>137</v>
      </c>
      <c r="H10" s="201" t="s">
        <v>138</v>
      </c>
      <c r="I10" s="183">
        <v>0.22</v>
      </c>
      <c r="J10" s="135">
        <v>12500</v>
      </c>
      <c r="K10" s="184"/>
      <c r="L10" s="185">
        <v>0</v>
      </c>
      <c r="M10" s="186"/>
      <c r="N10" s="187" t="s">
        <v>100</v>
      </c>
      <c r="O10" s="187" t="s">
        <v>100</v>
      </c>
      <c r="P10" s="187" t="s">
        <v>100</v>
      </c>
      <c r="Q10" s="188">
        <v>3</v>
      </c>
      <c r="R10" s="188">
        <f t="shared" si="0"/>
        <v>1.5</v>
      </c>
      <c r="S10" s="188">
        <f>5+3+4+3+3</f>
        <v>18</v>
      </c>
      <c r="T10" s="189">
        <f t="shared" si="1"/>
        <v>27</v>
      </c>
      <c r="U10" s="188">
        <f>3+3+4+4+2</f>
        <v>16</v>
      </c>
      <c r="V10" s="189">
        <f t="shared" si="2"/>
        <v>16</v>
      </c>
      <c r="W10" s="188">
        <f>5+4+5+3+4</f>
        <v>21</v>
      </c>
      <c r="X10" s="189">
        <f t="shared" si="3"/>
        <v>31.5</v>
      </c>
      <c r="Y10" s="189">
        <v>2</v>
      </c>
      <c r="Z10" s="189">
        <f t="shared" si="4"/>
        <v>1</v>
      </c>
      <c r="AA10" s="136">
        <f t="shared" si="5"/>
        <v>77</v>
      </c>
      <c r="AB10" s="190" t="s">
        <v>125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75" s="2" customFormat="1" ht="63" customHeight="1" x14ac:dyDescent="0.2">
      <c r="A11" s="194"/>
      <c r="B11" s="180" t="s">
        <v>79</v>
      </c>
      <c r="C11" s="181" t="s">
        <v>80</v>
      </c>
      <c r="D11" s="191" t="s">
        <v>81</v>
      </c>
      <c r="E11" s="182" t="s">
        <v>82</v>
      </c>
      <c r="F11" s="182" t="s">
        <v>83</v>
      </c>
      <c r="G11" s="200" t="s">
        <v>139</v>
      </c>
      <c r="H11" s="201" t="s">
        <v>140</v>
      </c>
      <c r="I11" s="197">
        <v>0.43</v>
      </c>
      <c r="J11" s="192">
        <v>40000</v>
      </c>
      <c r="K11" s="184"/>
      <c r="L11" s="185">
        <v>0</v>
      </c>
      <c r="M11" s="186"/>
      <c r="N11" s="187" t="s">
        <v>100</v>
      </c>
      <c r="O11" s="187" t="s">
        <v>100</v>
      </c>
      <c r="P11" s="187" t="s">
        <v>100</v>
      </c>
      <c r="Q11" s="188">
        <v>5</v>
      </c>
      <c r="R11" s="188">
        <f t="shared" si="0"/>
        <v>2.5</v>
      </c>
      <c r="S11" s="188">
        <f>4+3+3+4+3</f>
        <v>17</v>
      </c>
      <c r="T11" s="189">
        <f t="shared" si="1"/>
        <v>25.5</v>
      </c>
      <c r="U11" s="188">
        <f>5+3+3+4+3</f>
        <v>18</v>
      </c>
      <c r="V11" s="189">
        <f t="shared" si="2"/>
        <v>18</v>
      </c>
      <c r="W11" s="188">
        <f>5+3+3+3+4</f>
        <v>18</v>
      </c>
      <c r="X11" s="189">
        <f t="shared" si="3"/>
        <v>27</v>
      </c>
      <c r="Y11" s="189">
        <v>5</v>
      </c>
      <c r="Z11" s="189">
        <f t="shared" si="4"/>
        <v>2.5</v>
      </c>
      <c r="AA11" s="136">
        <f t="shared" si="5"/>
        <v>75.5</v>
      </c>
      <c r="AB11" s="190" t="s">
        <v>125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75" s="2" customFormat="1" ht="14.25" x14ac:dyDescent="0.2">
      <c r="B12" s="52"/>
      <c r="C12" s="53"/>
      <c r="D12" s="53"/>
      <c r="E12" s="53"/>
      <c r="F12" s="54"/>
      <c r="G12" s="55"/>
      <c r="H12" s="55"/>
      <c r="I12" s="56"/>
      <c r="J12" s="57"/>
      <c r="K12" s="58"/>
      <c r="L12" s="59"/>
      <c r="M12" s="60"/>
      <c r="N12" s="61"/>
      <c r="O12" s="61"/>
      <c r="P12" s="61"/>
      <c r="Q12" s="62"/>
      <c r="R12" s="62"/>
      <c r="S12" s="62"/>
      <c r="T12" s="63"/>
      <c r="U12" s="62"/>
      <c r="V12" s="63"/>
      <c r="W12" s="62"/>
      <c r="X12" s="63"/>
      <c r="Y12" s="63"/>
      <c r="Z12" s="63"/>
      <c r="AA12" s="16"/>
      <c r="AB12" s="6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75" s="2" customFormat="1" x14ac:dyDescent="0.2">
      <c r="B13" s="42" t="s">
        <v>101</v>
      </c>
      <c r="C13" s="4"/>
      <c r="D13" s="18"/>
      <c r="E13" s="10"/>
      <c r="F13" s="10"/>
      <c r="G13" s="10"/>
      <c r="H13" s="10"/>
      <c r="I13" s="4"/>
      <c r="J13" s="41">
        <f>SUM(J5:J11)</f>
        <v>252500</v>
      </c>
      <c r="K13" s="13"/>
      <c r="L13" s="68">
        <f>SUM(L5:L11)</f>
        <v>190000</v>
      </c>
      <c r="M13" s="17"/>
      <c r="N13" s="17"/>
      <c r="O13" s="17"/>
      <c r="P13" s="1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75" s="2" customFormat="1" x14ac:dyDescent="0.2">
      <c r="B14" s="3"/>
      <c r="C14" s="4"/>
      <c r="D14" s="4"/>
      <c r="E14" s="4"/>
      <c r="F14" s="18"/>
      <c r="G14" s="10"/>
      <c r="H14" s="10"/>
      <c r="I14" s="4"/>
      <c r="J14" s="9"/>
      <c r="K14" s="13"/>
      <c r="L14" s="16"/>
      <c r="M14" s="17"/>
      <c r="N14" s="17"/>
      <c r="O14" s="17"/>
      <c r="P14" s="17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75" s="2" customFormat="1" x14ac:dyDescent="0.2">
      <c r="B15" s="3"/>
      <c r="C15" s="4"/>
      <c r="D15" s="4"/>
      <c r="E15" s="4"/>
      <c r="F15" s="18"/>
      <c r="G15" s="10"/>
      <c r="H15" s="10"/>
      <c r="I15" s="4"/>
      <c r="J15" s="9"/>
      <c r="K15" s="13"/>
      <c r="L15" s="16"/>
      <c r="M15" s="17"/>
      <c r="N15" s="17"/>
      <c r="O15" s="17"/>
      <c r="P15" s="17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75" s="2" customFormat="1" x14ac:dyDescent="0.2">
      <c r="B16" s="3"/>
      <c r="C16" s="4"/>
      <c r="D16" s="4"/>
      <c r="E16" s="4"/>
      <c r="F16" s="18"/>
      <c r="G16" s="10"/>
      <c r="H16" s="10"/>
      <c r="I16" s="4"/>
      <c r="J16" s="9"/>
      <c r="K16" s="13"/>
      <c r="L16" s="16"/>
      <c r="M16" s="17"/>
      <c r="N16" s="17"/>
      <c r="O16" s="17"/>
      <c r="P16" s="17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2:43" s="2" customFormat="1" x14ac:dyDescent="0.2">
      <c r="B17" s="3"/>
      <c r="C17" s="4"/>
      <c r="D17" s="4"/>
      <c r="E17" s="4"/>
      <c r="F17" s="18"/>
      <c r="G17" s="10"/>
      <c r="H17" s="10"/>
      <c r="I17" s="4"/>
      <c r="J17" s="9"/>
      <c r="K17" s="13"/>
      <c r="L17" s="16"/>
      <c r="M17" s="17"/>
      <c r="N17" s="17"/>
      <c r="O17" s="17"/>
      <c r="P17" s="1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2:43" s="2" customFormat="1" x14ac:dyDescent="0.2">
      <c r="B18" s="3"/>
      <c r="C18" s="4"/>
      <c r="D18" s="4"/>
      <c r="E18" s="4"/>
      <c r="F18" s="18"/>
      <c r="G18" s="10"/>
      <c r="H18" s="10"/>
      <c r="I18" s="4"/>
      <c r="J18" s="9"/>
      <c r="K18" s="13"/>
      <c r="L18" s="16"/>
      <c r="M18" s="17"/>
      <c r="N18" s="17"/>
      <c r="O18" s="17"/>
      <c r="P18" s="17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2:43" s="2" customFormat="1" x14ac:dyDescent="0.2">
      <c r="B19" s="3"/>
      <c r="C19" s="4"/>
      <c r="D19" s="4"/>
      <c r="E19" s="74" t="s">
        <v>109</v>
      </c>
      <c r="F19" s="18"/>
      <c r="G19" s="10"/>
      <c r="H19" s="10"/>
      <c r="I19" s="4"/>
      <c r="J19" s="9"/>
      <c r="K19" s="13"/>
      <c r="L19" s="16"/>
      <c r="M19" s="17"/>
      <c r="N19" s="17"/>
      <c r="O19" s="17"/>
      <c r="P19" s="17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2:43" s="2" customFormat="1" x14ac:dyDescent="0.2">
      <c r="B20" s="3"/>
      <c r="C20" s="4"/>
      <c r="E20" s="70"/>
      <c r="F20" s="18"/>
      <c r="G20" s="10"/>
      <c r="H20" s="10"/>
      <c r="I20" s="4"/>
      <c r="J20" s="9"/>
      <c r="K20" s="13"/>
      <c r="L20" s="16"/>
      <c r="M20" s="17"/>
      <c r="N20" s="17"/>
      <c r="O20" s="17"/>
      <c r="P20" s="1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2:43" s="2" customFormat="1" ht="15" x14ac:dyDescent="0.25">
      <c r="B21" s="44"/>
      <c r="C21" s="47" t="s">
        <v>31</v>
      </c>
      <c r="D21" s="45">
        <f>J13</f>
        <v>252500</v>
      </c>
      <c r="E21" s="71">
        <f>L13</f>
        <v>190000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2:43" s="2" customFormat="1" ht="38.25" x14ac:dyDescent="0.2">
      <c r="B22" s="44"/>
      <c r="C22" s="47" t="s">
        <v>37</v>
      </c>
      <c r="D22" s="45">
        <f>ZP2_21!$K$8</f>
        <v>251000</v>
      </c>
      <c r="E22" s="72">
        <f>ZP2_21!M8</f>
        <v>167000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2:43" s="2" customFormat="1" ht="25.5" x14ac:dyDescent="0.2">
      <c r="B23" s="44"/>
      <c r="C23" s="47" t="s">
        <v>36</v>
      </c>
      <c r="D23" s="45">
        <f>ZP3_21!$K$9</f>
        <v>143000</v>
      </c>
      <c r="E23" s="71">
        <f>ZP3_21!M9</f>
        <v>143000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2:43" s="2" customFormat="1" x14ac:dyDescent="0.2">
      <c r="B24" s="3"/>
      <c r="E24" s="73"/>
      <c r="F24" s="18"/>
      <c r="G24" s="10"/>
      <c r="H24" s="10"/>
      <c r="I24" s="4"/>
      <c r="J24" s="9"/>
      <c r="K24" s="13"/>
      <c r="L24" s="16"/>
      <c r="M24" s="17"/>
      <c r="N24" s="17"/>
      <c r="O24" s="17"/>
      <c r="P24" s="1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2:43" s="2" customFormat="1" x14ac:dyDescent="0.2">
      <c r="B25" s="3"/>
      <c r="C25" s="46" t="s">
        <v>103</v>
      </c>
      <c r="D25" s="48">
        <f>SUM(D21:D23)</f>
        <v>646500</v>
      </c>
      <c r="E25" s="74">
        <f>SUM(E21:E23)</f>
        <v>500000</v>
      </c>
      <c r="F25" s="18"/>
      <c r="G25" s="10"/>
      <c r="H25" s="10"/>
      <c r="I25" s="4"/>
      <c r="J25" s="9"/>
      <c r="K25" s="13"/>
      <c r="L25" s="16"/>
      <c r="M25" s="17"/>
      <c r="N25" s="17"/>
      <c r="O25" s="17"/>
      <c r="P25" s="17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2:43" s="2" customFormat="1" x14ac:dyDescent="0.2">
      <c r="B26" s="3"/>
      <c r="C26" s="50" t="s">
        <v>104</v>
      </c>
      <c r="D26" s="51">
        <v>500000</v>
      </c>
      <c r="E26" s="51">
        <v>500000</v>
      </c>
      <c r="F26" s="18"/>
      <c r="G26" s="10"/>
      <c r="H26" s="10"/>
      <c r="I26" s="4"/>
      <c r="J26" s="9"/>
      <c r="K26" s="13"/>
      <c r="L26" s="16"/>
      <c r="M26" s="17"/>
      <c r="N26" s="17"/>
      <c r="O26" s="17"/>
      <c r="P26" s="17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2:43" s="2" customFormat="1" x14ac:dyDescent="0.2">
      <c r="B27" s="3"/>
      <c r="C27" s="4"/>
      <c r="D27" s="49">
        <f>D25-D26</f>
        <v>146500</v>
      </c>
      <c r="E27" s="49">
        <f>E25-E26</f>
        <v>0</v>
      </c>
      <c r="F27" s="18"/>
      <c r="G27" s="10"/>
      <c r="H27" s="10"/>
      <c r="I27" s="4"/>
      <c r="J27" s="9"/>
      <c r="K27" s="13"/>
      <c r="L27" s="16"/>
      <c r="M27" s="17"/>
      <c r="N27" s="17"/>
      <c r="O27" s="17"/>
      <c r="P27" s="17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2:43" s="2" customFormat="1" x14ac:dyDescent="0.2">
      <c r="B28" s="3"/>
      <c r="C28" s="4"/>
      <c r="D28" s="4"/>
      <c r="E28" s="4"/>
      <c r="F28" s="18"/>
      <c r="G28" s="10"/>
      <c r="H28" s="10"/>
      <c r="I28" s="4"/>
      <c r="J28" s="9"/>
      <c r="K28" s="13"/>
      <c r="L28" s="16"/>
      <c r="M28" s="17"/>
      <c r="N28" s="17"/>
      <c r="O28" s="17"/>
      <c r="P28" s="17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2:43" s="2" customFormat="1" x14ac:dyDescent="0.2">
      <c r="B29" s="3"/>
      <c r="C29" s="4"/>
      <c r="D29" s="4"/>
      <c r="E29" s="4"/>
      <c r="F29" s="18"/>
      <c r="G29" s="10"/>
      <c r="H29" s="10"/>
      <c r="I29" s="4"/>
      <c r="J29" s="9"/>
      <c r="K29" s="13"/>
      <c r="L29" s="16"/>
      <c r="M29" s="17"/>
      <c r="N29" s="17"/>
      <c r="O29" s="17"/>
      <c r="P29" s="17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2:43" s="2" customFormat="1" x14ac:dyDescent="0.2">
      <c r="B30" s="3"/>
      <c r="C30" s="4"/>
      <c r="D30" s="4"/>
      <c r="E30" s="4"/>
      <c r="F30" s="18"/>
      <c r="G30" s="10"/>
      <c r="H30" s="10"/>
      <c r="I30" s="4"/>
      <c r="J30" s="9"/>
      <c r="K30" s="13"/>
      <c r="L30" s="16"/>
      <c r="M30" s="17"/>
      <c r="N30" s="17"/>
      <c r="O30" s="17"/>
      <c r="P30" s="17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2:43" s="2" customFormat="1" x14ac:dyDescent="0.2">
      <c r="B31" s="3"/>
      <c r="C31" s="4"/>
      <c r="D31" s="4"/>
      <c r="E31" s="4"/>
      <c r="F31" s="18"/>
      <c r="G31" s="10"/>
      <c r="H31" s="10"/>
      <c r="I31" s="4"/>
      <c r="J31" s="9"/>
      <c r="K31" s="13"/>
      <c r="L31" s="16"/>
      <c r="M31" s="17"/>
      <c r="N31" s="17"/>
      <c r="O31" s="17"/>
      <c r="P31" s="1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2:43" s="2" customFormat="1" x14ac:dyDescent="0.2">
      <c r="B32" s="3"/>
      <c r="C32" s="4"/>
      <c r="D32" s="4"/>
      <c r="E32" s="4"/>
      <c r="F32" s="18"/>
      <c r="G32" s="10"/>
      <c r="H32" s="10"/>
      <c r="I32" s="4"/>
      <c r="J32" s="9"/>
      <c r="K32" s="13"/>
      <c r="L32" s="16"/>
      <c r="M32" s="17"/>
      <c r="N32" s="17"/>
      <c r="O32" s="17"/>
      <c r="P32" s="1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2:43" s="2" customFormat="1" x14ac:dyDescent="0.2">
      <c r="B33" s="3"/>
      <c r="C33" s="4"/>
      <c r="D33" s="4"/>
      <c r="E33" s="4"/>
      <c r="F33" s="18"/>
      <c r="G33" s="10"/>
      <c r="H33" s="10"/>
      <c r="I33" s="4"/>
      <c r="J33" s="9"/>
      <c r="K33" s="13"/>
      <c r="L33" s="16"/>
      <c r="M33" s="17"/>
      <c r="N33" s="17"/>
      <c r="O33" s="17"/>
      <c r="P33" s="1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2:43" s="2" customFormat="1" x14ac:dyDescent="0.2">
      <c r="B34" s="3"/>
      <c r="C34" s="4"/>
      <c r="D34" s="4"/>
      <c r="E34" s="4"/>
      <c r="F34" s="18"/>
      <c r="G34" s="10"/>
      <c r="H34" s="10"/>
      <c r="I34" s="4"/>
      <c r="J34" s="9"/>
      <c r="K34" s="13"/>
      <c r="L34" s="16"/>
      <c r="M34" s="17"/>
      <c r="N34" s="17"/>
      <c r="O34" s="17"/>
      <c r="P34" s="17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2:43" s="2" customFormat="1" x14ac:dyDescent="0.2">
      <c r="B35" s="3"/>
      <c r="C35" s="4"/>
      <c r="D35" s="4"/>
      <c r="E35" s="4"/>
      <c r="F35" s="18"/>
      <c r="G35" s="10"/>
      <c r="H35" s="10"/>
      <c r="I35" s="4"/>
      <c r="J35" s="9"/>
      <c r="K35" s="13"/>
      <c r="L35" s="16"/>
      <c r="M35" s="17"/>
      <c r="N35" s="17"/>
      <c r="O35" s="17"/>
      <c r="P35" s="17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2:43" s="2" customFormat="1" x14ac:dyDescent="0.2">
      <c r="B36" s="3"/>
      <c r="C36" s="4"/>
      <c r="D36" s="4"/>
      <c r="E36" s="4"/>
      <c r="F36" s="18"/>
      <c r="G36" s="10"/>
      <c r="H36" s="10"/>
      <c r="I36" s="4"/>
      <c r="J36" s="9"/>
      <c r="K36" s="13"/>
      <c r="L36" s="16"/>
      <c r="M36" s="17"/>
      <c r="N36" s="17"/>
      <c r="O36" s="17"/>
      <c r="P36" s="17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2:43" s="2" customFormat="1" x14ac:dyDescent="0.2">
      <c r="B37" s="3"/>
      <c r="C37" s="4"/>
      <c r="D37" s="4"/>
      <c r="E37" s="4"/>
      <c r="F37" s="18"/>
      <c r="G37" s="10"/>
      <c r="H37" s="10"/>
      <c r="I37" s="4"/>
      <c r="J37" s="9"/>
      <c r="K37" s="13"/>
      <c r="L37" s="16"/>
      <c r="M37" s="17"/>
      <c r="N37" s="17"/>
      <c r="O37" s="17"/>
      <c r="P37" s="17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2:43" s="2" customFormat="1" x14ac:dyDescent="0.2">
      <c r="B38" s="3"/>
      <c r="C38" s="4"/>
      <c r="D38" s="4"/>
      <c r="E38" s="4"/>
      <c r="F38" s="18"/>
      <c r="G38" s="10"/>
      <c r="H38" s="10"/>
      <c r="I38" s="4"/>
      <c r="J38" s="9"/>
      <c r="K38" s="13"/>
      <c r="L38" s="16"/>
      <c r="M38" s="17"/>
      <c r="N38" s="17"/>
      <c r="O38" s="17"/>
      <c r="P38" s="17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2:43" s="2" customFormat="1" x14ac:dyDescent="0.2">
      <c r="B39" s="3"/>
      <c r="C39" s="4"/>
      <c r="D39" s="4"/>
      <c r="E39" s="4"/>
      <c r="F39" s="18"/>
      <c r="G39" s="10"/>
      <c r="H39" s="10"/>
      <c r="I39" s="4"/>
      <c r="J39" s="9"/>
      <c r="K39" s="13"/>
      <c r="L39" s="16"/>
      <c r="M39" s="17"/>
      <c r="N39" s="17"/>
      <c r="O39" s="17"/>
      <c r="P39" s="17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2:43" s="2" customFormat="1" x14ac:dyDescent="0.2">
      <c r="B40" s="3"/>
      <c r="C40" s="4"/>
      <c r="D40" s="4"/>
      <c r="E40" s="4"/>
      <c r="F40" s="18"/>
      <c r="G40" s="10"/>
      <c r="H40" s="10"/>
      <c r="I40" s="4"/>
      <c r="J40" s="9"/>
      <c r="K40" s="13"/>
      <c r="L40" s="16"/>
      <c r="M40" s="17"/>
      <c r="N40" s="17"/>
      <c r="O40" s="17"/>
      <c r="P40" s="17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2:43" s="2" customFormat="1" x14ac:dyDescent="0.2">
      <c r="B41" s="3"/>
      <c r="C41" s="4"/>
      <c r="D41" s="4"/>
      <c r="E41" s="4"/>
      <c r="F41" s="18"/>
      <c r="G41" s="10"/>
      <c r="H41" s="10"/>
      <c r="I41" s="4"/>
      <c r="J41" s="9"/>
      <c r="K41" s="13"/>
      <c r="L41" s="16"/>
      <c r="M41" s="17"/>
      <c r="N41" s="17"/>
      <c r="O41" s="17"/>
      <c r="P41" s="17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2:43" s="2" customFormat="1" x14ac:dyDescent="0.2">
      <c r="B42" s="3"/>
      <c r="C42" s="4"/>
      <c r="D42" s="4"/>
      <c r="E42" s="4"/>
      <c r="F42" s="18"/>
      <c r="G42" s="10"/>
      <c r="H42" s="10"/>
      <c r="I42" s="4"/>
      <c r="J42" s="9"/>
      <c r="K42" s="13"/>
      <c r="L42" s="16"/>
      <c r="M42" s="17"/>
      <c r="N42" s="17"/>
      <c r="O42" s="17"/>
      <c r="P42" s="17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2:43" s="2" customFormat="1" x14ac:dyDescent="0.2">
      <c r="B43" s="3"/>
      <c r="C43" s="4"/>
      <c r="D43" s="4"/>
      <c r="E43" s="4"/>
      <c r="F43" s="18"/>
      <c r="G43" s="10"/>
      <c r="H43" s="10"/>
      <c r="I43" s="4"/>
      <c r="J43" s="9"/>
      <c r="K43" s="13"/>
      <c r="L43" s="16"/>
      <c r="M43" s="17"/>
      <c r="N43" s="17"/>
      <c r="O43" s="17"/>
      <c r="P43" s="17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2:43" s="2" customFormat="1" x14ac:dyDescent="0.2">
      <c r="B44" s="3"/>
      <c r="C44" s="4"/>
      <c r="D44" s="4"/>
      <c r="E44" s="4"/>
      <c r="F44" s="18"/>
      <c r="G44" s="10"/>
      <c r="H44" s="10"/>
      <c r="I44" s="4"/>
      <c r="J44" s="9"/>
      <c r="K44" s="13"/>
      <c r="L44" s="16"/>
      <c r="M44" s="17"/>
      <c r="N44" s="17"/>
      <c r="O44" s="17"/>
      <c r="P44" s="17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2:43" s="2" customFormat="1" x14ac:dyDescent="0.2">
      <c r="B45" s="3"/>
      <c r="C45" s="4"/>
      <c r="D45" s="4"/>
      <c r="E45" s="4"/>
      <c r="F45" s="18"/>
      <c r="G45" s="10"/>
      <c r="H45" s="10"/>
      <c r="I45" s="4"/>
      <c r="J45" s="9"/>
      <c r="K45" s="13"/>
      <c r="L45" s="16"/>
      <c r="M45" s="17"/>
      <c r="N45" s="17"/>
      <c r="O45" s="17"/>
      <c r="P45" s="17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2:43" s="2" customFormat="1" x14ac:dyDescent="0.2">
      <c r="B46" s="3"/>
      <c r="C46" s="4"/>
      <c r="D46" s="4"/>
      <c r="E46" s="4"/>
      <c r="F46" s="18"/>
      <c r="G46" s="10"/>
      <c r="H46" s="10"/>
      <c r="I46" s="4"/>
      <c r="J46" s="9"/>
      <c r="K46" s="13"/>
      <c r="L46" s="16"/>
      <c r="M46" s="17"/>
      <c r="N46" s="17"/>
      <c r="O46" s="17"/>
      <c r="P46" s="17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2:43" s="2" customFormat="1" x14ac:dyDescent="0.2">
      <c r="B47" s="3"/>
      <c r="C47" s="4"/>
      <c r="D47" s="4"/>
      <c r="E47" s="4"/>
      <c r="F47" s="18"/>
      <c r="G47" s="10"/>
      <c r="H47" s="10"/>
      <c r="I47" s="4"/>
      <c r="J47" s="9"/>
      <c r="K47" s="13"/>
      <c r="L47" s="16"/>
      <c r="M47" s="17"/>
      <c r="N47" s="17"/>
      <c r="O47" s="17"/>
      <c r="P47" s="17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2:43" s="2" customFormat="1" x14ac:dyDescent="0.2">
      <c r="B48" s="3"/>
      <c r="C48" s="4"/>
      <c r="D48" s="4"/>
      <c r="E48" s="4"/>
      <c r="F48" s="18"/>
      <c r="G48" s="10"/>
      <c r="H48" s="10"/>
      <c r="I48" s="4"/>
      <c r="J48" s="9"/>
      <c r="K48" s="13"/>
      <c r="L48" s="16"/>
      <c r="M48" s="17"/>
      <c r="N48" s="17"/>
      <c r="O48" s="17"/>
      <c r="P48" s="17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2:43" s="2" customFormat="1" x14ac:dyDescent="0.2">
      <c r="B49" s="3"/>
      <c r="C49" s="4"/>
      <c r="D49" s="4"/>
      <c r="E49" s="4"/>
      <c r="F49" s="18"/>
      <c r="G49" s="10"/>
      <c r="H49" s="10"/>
      <c r="I49" s="4"/>
      <c r="J49" s="9"/>
      <c r="K49" s="13"/>
      <c r="L49" s="16"/>
      <c r="M49" s="17"/>
      <c r="N49" s="17"/>
      <c r="O49" s="17"/>
      <c r="P49" s="17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2:43" s="2" customFormat="1" x14ac:dyDescent="0.2">
      <c r="B50" s="3"/>
      <c r="C50" s="4"/>
      <c r="D50" s="4"/>
      <c r="E50" s="4"/>
      <c r="F50" s="18"/>
      <c r="G50" s="10"/>
      <c r="H50" s="10"/>
      <c r="I50" s="4"/>
      <c r="J50" s="9"/>
      <c r="K50" s="13"/>
      <c r="L50" s="16"/>
      <c r="M50" s="17"/>
      <c r="N50" s="17"/>
      <c r="O50" s="17"/>
      <c r="P50" s="17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2:43" s="2" customFormat="1" x14ac:dyDescent="0.2">
      <c r="B51" s="3"/>
      <c r="C51" s="4"/>
      <c r="D51" s="4"/>
      <c r="E51" s="4"/>
      <c r="F51" s="18"/>
      <c r="G51" s="10"/>
      <c r="H51" s="10"/>
      <c r="I51" s="4"/>
      <c r="J51" s="9"/>
      <c r="K51" s="13"/>
      <c r="L51" s="16"/>
      <c r="M51" s="17"/>
      <c r="N51" s="17"/>
      <c r="O51" s="17"/>
      <c r="P51" s="17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2:43" s="2" customFormat="1" x14ac:dyDescent="0.2">
      <c r="B52" s="3"/>
      <c r="C52" s="4"/>
      <c r="D52" s="4"/>
      <c r="E52" s="4"/>
      <c r="F52" s="18"/>
      <c r="G52" s="10"/>
      <c r="H52" s="10"/>
      <c r="I52" s="4"/>
      <c r="J52" s="9"/>
      <c r="K52" s="13"/>
      <c r="L52" s="16"/>
      <c r="M52" s="17"/>
      <c r="N52" s="17"/>
      <c r="O52" s="17"/>
      <c r="P52" s="17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2:43" s="2" customFormat="1" x14ac:dyDescent="0.2">
      <c r="B53" s="3"/>
      <c r="C53" s="4"/>
      <c r="D53" s="4"/>
      <c r="E53" s="4"/>
      <c r="F53" s="18"/>
      <c r="G53" s="10"/>
      <c r="H53" s="10"/>
      <c r="I53" s="4"/>
      <c r="J53" s="9"/>
      <c r="K53" s="13"/>
      <c r="L53" s="16"/>
      <c r="M53" s="17"/>
      <c r="N53" s="17"/>
      <c r="O53" s="17"/>
      <c r="P53" s="17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2:43" s="2" customFormat="1" x14ac:dyDescent="0.2">
      <c r="B54" s="3"/>
      <c r="C54" s="4"/>
      <c r="D54" s="4"/>
      <c r="E54" s="4"/>
      <c r="F54" s="18"/>
      <c r="G54" s="10"/>
      <c r="H54" s="10"/>
      <c r="I54" s="4"/>
      <c r="J54" s="9"/>
      <c r="K54" s="13"/>
      <c r="L54" s="16"/>
      <c r="M54" s="17"/>
      <c r="N54" s="17"/>
      <c r="O54" s="17"/>
      <c r="P54" s="17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2:43" s="2" customFormat="1" x14ac:dyDescent="0.2">
      <c r="B55" s="3"/>
      <c r="C55" s="4"/>
      <c r="D55" s="4"/>
      <c r="E55" s="4"/>
      <c r="F55" s="18"/>
      <c r="G55" s="10"/>
      <c r="H55" s="10"/>
      <c r="I55" s="4"/>
      <c r="J55" s="9"/>
      <c r="K55" s="13"/>
      <c r="L55" s="16"/>
      <c r="M55" s="17"/>
      <c r="N55" s="17"/>
      <c r="O55" s="17"/>
      <c r="P55" s="17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2:43" s="2" customFormat="1" x14ac:dyDescent="0.2">
      <c r="B56" s="3"/>
      <c r="C56" s="4"/>
      <c r="D56" s="4"/>
      <c r="E56" s="4"/>
      <c r="F56" s="18"/>
      <c r="G56" s="10"/>
      <c r="H56" s="10"/>
      <c r="I56" s="4"/>
      <c r="J56" s="9"/>
      <c r="K56" s="13"/>
      <c r="L56" s="16"/>
      <c r="M56" s="17"/>
      <c r="N56" s="17"/>
      <c r="O56" s="17"/>
      <c r="P56" s="17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2:43" s="2" customFormat="1" x14ac:dyDescent="0.2">
      <c r="B57" s="3"/>
      <c r="C57" s="4"/>
      <c r="D57" s="4"/>
      <c r="E57" s="4"/>
      <c r="F57" s="18"/>
      <c r="G57" s="10"/>
      <c r="H57" s="10"/>
      <c r="I57" s="4"/>
      <c r="J57" s="9"/>
      <c r="K57" s="13"/>
      <c r="L57" s="16"/>
      <c r="M57" s="17"/>
      <c r="N57" s="17"/>
      <c r="O57" s="17"/>
      <c r="P57" s="17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2:43" s="2" customFormat="1" x14ac:dyDescent="0.2">
      <c r="B58" s="3"/>
      <c r="C58" s="4"/>
      <c r="D58" s="4"/>
      <c r="E58" s="4"/>
      <c r="F58" s="18"/>
      <c r="G58" s="10"/>
      <c r="H58" s="10"/>
      <c r="I58" s="4"/>
      <c r="J58" s="9"/>
      <c r="K58" s="13"/>
      <c r="L58" s="16"/>
      <c r="M58" s="17"/>
      <c r="N58" s="17"/>
      <c r="O58" s="17"/>
      <c r="P58" s="17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2:43" s="2" customFormat="1" x14ac:dyDescent="0.2">
      <c r="B59" s="3"/>
      <c r="C59" s="4"/>
      <c r="D59" s="4"/>
      <c r="E59" s="4"/>
      <c r="F59" s="18"/>
      <c r="G59" s="10"/>
      <c r="H59" s="10"/>
      <c r="I59" s="4"/>
      <c r="J59" s="9"/>
      <c r="K59" s="13"/>
      <c r="L59" s="16"/>
      <c r="M59" s="17"/>
      <c r="N59" s="17"/>
      <c r="O59" s="17"/>
      <c r="P59" s="17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2:43" s="2" customFormat="1" x14ac:dyDescent="0.2">
      <c r="B60" s="3"/>
      <c r="C60" s="4"/>
      <c r="D60" s="4"/>
      <c r="E60" s="4"/>
      <c r="F60" s="18"/>
      <c r="G60" s="10"/>
      <c r="H60" s="10"/>
      <c r="I60" s="4"/>
      <c r="J60" s="9"/>
      <c r="K60" s="13"/>
      <c r="L60" s="16"/>
      <c r="M60" s="17"/>
      <c r="N60" s="17"/>
      <c r="O60" s="17"/>
      <c r="P60" s="17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2:43" s="2" customFormat="1" x14ac:dyDescent="0.2">
      <c r="B61" s="3"/>
      <c r="C61" s="4"/>
      <c r="D61" s="4"/>
      <c r="E61" s="4"/>
      <c r="F61" s="18"/>
      <c r="G61" s="10"/>
      <c r="H61" s="10"/>
      <c r="I61" s="4"/>
      <c r="J61" s="9"/>
      <c r="K61" s="13"/>
      <c r="L61" s="16"/>
      <c r="M61" s="17"/>
      <c r="N61" s="17"/>
      <c r="O61" s="17"/>
      <c r="P61" s="17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2:43" s="2" customFormat="1" x14ac:dyDescent="0.2">
      <c r="B62" s="3"/>
      <c r="C62" s="4"/>
      <c r="D62" s="4"/>
      <c r="E62" s="4"/>
      <c r="F62" s="18"/>
      <c r="G62" s="10"/>
      <c r="H62" s="10"/>
      <c r="I62" s="4"/>
      <c r="J62" s="9"/>
      <c r="K62" s="13"/>
      <c r="L62" s="16"/>
      <c r="M62" s="17"/>
      <c r="N62" s="17"/>
      <c r="O62" s="17"/>
      <c r="P62" s="17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2:43" s="2" customFormat="1" x14ac:dyDescent="0.2">
      <c r="B63" s="3"/>
      <c r="C63" s="4"/>
      <c r="D63" s="4"/>
      <c r="E63" s="4"/>
      <c r="F63" s="18"/>
      <c r="G63" s="10"/>
      <c r="H63" s="10"/>
      <c r="I63" s="4"/>
      <c r="J63" s="9"/>
      <c r="K63" s="13"/>
      <c r="L63" s="16"/>
      <c r="M63" s="17"/>
      <c r="N63" s="17"/>
      <c r="O63" s="17"/>
      <c r="P63" s="17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2:43" s="2" customFormat="1" x14ac:dyDescent="0.2">
      <c r="B64" s="3"/>
      <c r="C64" s="4"/>
      <c r="D64" s="4"/>
      <c r="E64" s="4"/>
      <c r="F64" s="18"/>
      <c r="G64" s="10"/>
      <c r="H64" s="10"/>
      <c r="I64" s="4"/>
      <c r="J64" s="9"/>
      <c r="K64" s="13"/>
      <c r="L64" s="16"/>
      <c r="M64" s="17"/>
      <c r="N64" s="17"/>
      <c r="O64" s="17"/>
      <c r="P64" s="17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2:43" s="2" customFormat="1" x14ac:dyDescent="0.2">
      <c r="B65" s="3"/>
      <c r="C65" s="4"/>
      <c r="D65" s="4"/>
      <c r="E65" s="4"/>
      <c r="F65" s="18"/>
      <c r="G65" s="10"/>
      <c r="H65" s="10"/>
      <c r="I65" s="4"/>
      <c r="J65" s="9"/>
      <c r="K65" s="13"/>
      <c r="L65" s="16"/>
      <c r="M65" s="17"/>
      <c r="N65" s="17"/>
      <c r="O65" s="17"/>
      <c r="P65" s="17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2:43" s="2" customFormat="1" x14ac:dyDescent="0.2">
      <c r="B66" s="3"/>
      <c r="C66" s="4"/>
      <c r="D66" s="4"/>
      <c r="E66" s="4"/>
      <c r="F66" s="18"/>
      <c r="G66" s="10"/>
      <c r="H66" s="10"/>
      <c r="I66" s="4"/>
      <c r="J66" s="9"/>
      <c r="K66" s="13"/>
      <c r="L66" s="16"/>
      <c r="M66" s="17"/>
      <c r="N66" s="17"/>
      <c r="O66" s="17"/>
      <c r="P66" s="17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2:43" s="2" customFormat="1" x14ac:dyDescent="0.2">
      <c r="B67" s="3"/>
      <c r="C67" s="4"/>
      <c r="D67" s="4"/>
      <c r="E67" s="4"/>
      <c r="F67" s="18"/>
      <c r="G67" s="10"/>
      <c r="H67" s="10"/>
      <c r="I67" s="4"/>
      <c r="J67" s="9"/>
      <c r="K67" s="13"/>
      <c r="L67" s="16"/>
      <c r="M67" s="17"/>
      <c r="N67" s="17"/>
      <c r="O67" s="17"/>
      <c r="P67" s="17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2:43" s="2" customFormat="1" x14ac:dyDescent="0.2">
      <c r="B68" s="3"/>
      <c r="C68" s="4"/>
      <c r="D68" s="4"/>
      <c r="E68" s="4"/>
      <c r="F68" s="18"/>
      <c r="G68" s="10"/>
      <c r="H68" s="10"/>
      <c r="I68" s="4"/>
      <c r="J68" s="9"/>
      <c r="K68" s="13"/>
      <c r="L68" s="16"/>
      <c r="M68" s="17"/>
      <c r="N68" s="17"/>
      <c r="O68" s="17"/>
      <c r="P68" s="17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2:43" s="2" customFormat="1" x14ac:dyDescent="0.2">
      <c r="B69" s="3"/>
      <c r="C69" s="4"/>
      <c r="D69" s="4"/>
      <c r="E69" s="4"/>
      <c r="F69" s="18"/>
      <c r="G69" s="10"/>
      <c r="H69" s="10"/>
      <c r="I69" s="4"/>
      <c r="J69" s="9"/>
      <c r="K69" s="13"/>
      <c r="L69" s="16"/>
      <c r="M69" s="17"/>
      <c r="N69" s="17"/>
      <c r="O69" s="17"/>
      <c r="P69" s="17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2:43" s="2" customFormat="1" x14ac:dyDescent="0.2">
      <c r="B70" s="3"/>
      <c r="C70" s="4"/>
      <c r="D70" s="4"/>
      <c r="E70" s="4"/>
      <c r="F70" s="18"/>
      <c r="G70" s="10"/>
      <c r="H70" s="10"/>
      <c r="I70" s="4"/>
      <c r="J70" s="9"/>
      <c r="K70" s="13"/>
      <c r="L70" s="16"/>
      <c r="M70" s="17"/>
      <c r="N70" s="17"/>
      <c r="O70" s="17"/>
      <c r="P70" s="17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2:43" s="2" customFormat="1" x14ac:dyDescent="0.2">
      <c r="B71" s="3"/>
      <c r="C71" s="4"/>
      <c r="D71" s="4"/>
      <c r="E71" s="4"/>
      <c r="F71" s="18"/>
      <c r="G71" s="10"/>
      <c r="H71" s="10"/>
      <c r="I71" s="4"/>
      <c r="J71" s="9"/>
      <c r="K71" s="13"/>
      <c r="L71" s="16"/>
      <c r="M71" s="17"/>
      <c r="N71" s="17"/>
      <c r="O71" s="17"/>
      <c r="P71" s="17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2:43" s="2" customFormat="1" x14ac:dyDescent="0.2">
      <c r="B72" s="3"/>
      <c r="C72" s="4"/>
      <c r="D72" s="4"/>
      <c r="E72" s="4"/>
      <c r="F72" s="18"/>
      <c r="G72" s="10"/>
      <c r="H72" s="10"/>
      <c r="I72" s="4"/>
      <c r="J72" s="9"/>
      <c r="K72" s="13"/>
      <c r="L72" s="16"/>
      <c r="M72" s="17"/>
      <c r="N72" s="17"/>
      <c r="O72" s="17"/>
      <c r="P72" s="17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2:43" s="2" customFormat="1" x14ac:dyDescent="0.2">
      <c r="B73" s="3"/>
      <c r="C73" s="4"/>
      <c r="D73" s="4"/>
      <c r="E73" s="4"/>
      <c r="F73" s="18"/>
      <c r="G73" s="10"/>
      <c r="H73" s="10"/>
      <c r="I73" s="4"/>
      <c r="J73" s="9"/>
      <c r="K73" s="13"/>
      <c r="L73" s="16"/>
      <c r="M73" s="17"/>
      <c r="N73" s="17"/>
      <c r="O73" s="17"/>
      <c r="P73" s="17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2:43" s="2" customFormat="1" x14ac:dyDescent="0.2">
      <c r="B74" s="3"/>
      <c r="C74" s="4"/>
      <c r="D74" s="4"/>
      <c r="E74" s="4"/>
      <c r="F74" s="18"/>
      <c r="G74" s="10"/>
      <c r="H74" s="10"/>
      <c r="I74" s="4"/>
      <c r="J74" s="9"/>
      <c r="K74" s="13"/>
      <c r="L74" s="16"/>
      <c r="M74" s="17"/>
      <c r="N74" s="17"/>
      <c r="O74" s="17"/>
      <c r="P74" s="17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2:43" s="2" customFormat="1" x14ac:dyDescent="0.2">
      <c r="B75" s="3"/>
      <c r="C75" s="4"/>
      <c r="D75" s="4"/>
      <c r="E75" s="4"/>
      <c r="F75" s="18"/>
      <c r="G75" s="10"/>
      <c r="H75" s="10"/>
      <c r="I75" s="4"/>
      <c r="J75" s="9"/>
      <c r="K75" s="13"/>
      <c r="L75" s="16"/>
      <c r="M75" s="17"/>
      <c r="N75" s="17"/>
      <c r="O75" s="17"/>
      <c r="P75" s="17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2:43" s="2" customFormat="1" x14ac:dyDescent="0.2">
      <c r="B76" s="3"/>
      <c r="C76" s="4"/>
      <c r="D76" s="4"/>
      <c r="E76" s="4"/>
      <c r="F76" s="18"/>
      <c r="G76" s="10"/>
      <c r="H76" s="10"/>
      <c r="I76" s="4"/>
      <c r="J76" s="9"/>
      <c r="K76" s="13"/>
      <c r="L76" s="16"/>
      <c r="M76" s="17"/>
      <c r="N76" s="17"/>
      <c r="O76" s="17"/>
      <c r="P76" s="17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2:43" s="2" customFormat="1" x14ac:dyDescent="0.2">
      <c r="B77" s="3"/>
      <c r="C77" s="4"/>
      <c r="D77" s="4"/>
      <c r="E77" s="4"/>
      <c r="F77" s="18"/>
      <c r="G77" s="10"/>
      <c r="H77" s="10"/>
      <c r="I77" s="4"/>
      <c r="J77" s="9"/>
      <c r="K77" s="13"/>
      <c r="L77" s="16"/>
      <c r="M77" s="17"/>
      <c r="N77" s="17"/>
      <c r="O77" s="17"/>
      <c r="P77" s="17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2:43" s="2" customFormat="1" x14ac:dyDescent="0.2">
      <c r="B78" s="3"/>
      <c r="C78" s="4"/>
      <c r="D78" s="4"/>
      <c r="E78" s="4"/>
      <c r="F78" s="18"/>
      <c r="G78" s="10"/>
      <c r="H78" s="10"/>
      <c r="I78" s="4"/>
      <c r="J78" s="9"/>
      <c r="K78" s="13"/>
      <c r="L78" s="16"/>
      <c r="M78" s="17"/>
      <c r="N78" s="17"/>
      <c r="O78" s="17"/>
      <c r="P78" s="17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2:43" s="2" customFormat="1" x14ac:dyDescent="0.2">
      <c r="B79" s="3"/>
      <c r="C79" s="4"/>
      <c r="D79" s="4"/>
      <c r="E79" s="4"/>
      <c r="F79" s="18"/>
      <c r="G79" s="10"/>
      <c r="H79" s="10"/>
      <c r="I79" s="4"/>
      <c r="J79" s="9"/>
      <c r="K79" s="13"/>
      <c r="L79" s="16"/>
      <c r="M79" s="17"/>
      <c r="N79" s="17"/>
      <c r="O79" s="17"/>
      <c r="P79" s="17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2:43" s="2" customFormat="1" x14ac:dyDescent="0.2">
      <c r="B80" s="3"/>
      <c r="C80" s="4"/>
      <c r="D80" s="4"/>
      <c r="E80" s="4"/>
      <c r="F80" s="18"/>
      <c r="G80" s="10"/>
      <c r="H80" s="10"/>
      <c r="I80" s="4"/>
      <c r="J80" s="9"/>
      <c r="K80" s="13"/>
      <c r="L80" s="16"/>
      <c r="M80" s="17"/>
      <c r="N80" s="17"/>
      <c r="O80" s="17"/>
      <c r="P80" s="17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2:43" s="2" customFormat="1" x14ac:dyDescent="0.2">
      <c r="B81" s="3"/>
      <c r="C81" s="4"/>
      <c r="D81" s="4"/>
      <c r="E81" s="4"/>
      <c r="F81" s="18"/>
      <c r="G81" s="10"/>
      <c r="H81" s="10"/>
      <c r="I81" s="4"/>
      <c r="J81" s="9"/>
      <c r="K81" s="13"/>
      <c r="L81" s="16"/>
      <c r="M81" s="17"/>
      <c r="N81" s="17"/>
      <c r="O81" s="17"/>
      <c r="P81" s="17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2:43" s="2" customFormat="1" x14ac:dyDescent="0.2">
      <c r="B82" s="3"/>
      <c r="C82" s="4"/>
      <c r="D82" s="4"/>
      <c r="E82" s="4"/>
      <c r="F82" s="18"/>
      <c r="G82" s="10"/>
      <c r="H82" s="10"/>
      <c r="I82" s="4"/>
      <c r="J82" s="9"/>
      <c r="K82" s="13"/>
      <c r="L82" s="16"/>
      <c r="M82" s="17"/>
      <c r="N82" s="17"/>
      <c r="O82" s="17"/>
      <c r="P82" s="17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spans="2:43" s="2" customFormat="1" x14ac:dyDescent="0.2">
      <c r="B83" s="3"/>
      <c r="C83" s="4"/>
      <c r="D83" s="4"/>
      <c r="E83" s="4"/>
      <c r="F83" s="18"/>
      <c r="G83" s="10"/>
      <c r="H83" s="10"/>
      <c r="I83" s="4"/>
      <c r="J83" s="9"/>
      <c r="K83" s="13"/>
      <c r="L83" s="16"/>
      <c r="M83" s="17"/>
      <c r="N83" s="17"/>
      <c r="O83" s="17"/>
      <c r="P83" s="17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2:43" s="2" customFormat="1" x14ac:dyDescent="0.2">
      <c r="B84" s="3"/>
      <c r="C84" s="4"/>
      <c r="D84" s="4"/>
      <c r="E84" s="4"/>
      <c r="F84" s="18"/>
      <c r="G84" s="10"/>
      <c r="H84" s="10"/>
      <c r="I84" s="4"/>
      <c r="J84" s="9"/>
      <c r="K84" s="13"/>
      <c r="L84" s="16"/>
      <c r="M84" s="17"/>
      <c r="N84" s="17"/>
      <c r="O84" s="17"/>
      <c r="P84" s="17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2:43" s="2" customFormat="1" x14ac:dyDescent="0.2">
      <c r="B85" s="3"/>
      <c r="C85" s="4"/>
      <c r="D85" s="4"/>
      <c r="E85" s="4"/>
      <c r="F85" s="18"/>
      <c r="G85" s="10"/>
      <c r="H85" s="10"/>
      <c r="I85" s="4"/>
      <c r="J85" s="9"/>
      <c r="K85" s="13"/>
      <c r="L85" s="16"/>
      <c r="M85" s="17"/>
      <c r="N85" s="17"/>
      <c r="O85" s="17"/>
      <c r="P85" s="17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2:43" s="2" customFormat="1" x14ac:dyDescent="0.2">
      <c r="B86" s="3"/>
      <c r="C86" s="4"/>
      <c r="D86" s="4"/>
      <c r="E86" s="4"/>
      <c r="F86" s="18"/>
      <c r="G86" s="10"/>
      <c r="H86" s="10"/>
      <c r="I86" s="4"/>
      <c r="J86" s="9"/>
      <c r="K86" s="13"/>
      <c r="L86" s="16"/>
      <c r="M86" s="17"/>
      <c r="N86" s="17"/>
      <c r="O86" s="17"/>
      <c r="P86" s="17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2:43" s="2" customFormat="1" x14ac:dyDescent="0.2">
      <c r="B87" s="3"/>
      <c r="C87" s="4"/>
      <c r="D87" s="4"/>
      <c r="E87" s="4"/>
      <c r="F87" s="18"/>
      <c r="G87" s="10"/>
      <c r="H87" s="10"/>
      <c r="I87" s="4"/>
      <c r="J87" s="9"/>
      <c r="K87" s="13"/>
      <c r="L87" s="16"/>
      <c r="M87" s="17"/>
      <c r="N87" s="17"/>
      <c r="O87" s="17"/>
      <c r="P87" s="17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2:43" s="2" customFormat="1" x14ac:dyDescent="0.2">
      <c r="B88" s="3"/>
      <c r="C88" s="4"/>
      <c r="D88" s="4"/>
      <c r="E88" s="4"/>
      <c r="F88" s="18"/>
      <c r="G88" s="10"/>
      <c r="H88" s="10"/>
      <c r="I88" s="4"/>
      <c r="J88" s="9"/>
      <c r="K88" s="13"/>
      <c r="L88" s="16"/>
      <c r="M88" s="17"/>
      <c r="N88" s="17"/>
      <c r="O88" s="17"/>
      <c r="P88" s="17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2:43" s="2" customFormat="1" x14ac:dyDescent="0.2">
      <c r="B89" s="3"/>
      <c r="C89" s="4"/>
      <c r="D89" s="4"/>
      <c r="E89" s="4"/>
      <c r="F89" s="18"/>
      <c r="G89" s="10"/>
      <c r="H89" s="10"/>
      <c r="I89" s="4"/>
      <c r="J89" s="9"/>
      <c r="K89" s="13"/>
      <c r="L89" s="16"/>
      <c r="M89" s="17"/>
      <c r="N89" s="17"/>
      <c r="O89" s="17"/>
      <c r="P89" s="17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2:43" s="2" customFormat="1" x14ac:dyDescent="0.2">
      <c r="B90" s="3"/>
      <c r="C90" s="4"/>
      <c r="D90" s="4"/>
      <c r="E90" s="4"/>
      <c r="F90" s="18"/>
      <c r="G90" s="10"/>
      <c r="H90" s="10"/>
      <c r="I90" s="4"/>
      <c r="J90" s="9"/>
      <c r="K90" s="13"/>
      <c r="L90" s="16"/>
      <c r="M90" s="17"/>
      <c r="N90" s="17"/>
      <c r="O90" s="17"/>
      <c r="P90" s="17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</sheetData>
  <sortState ref="A5:BW11">
    <sortCondition descending="1" ref="AA5:AA11"/>
  </sortState>
  <mergeCells count="23">
    <mergeCell ref="A5:A9"/>
    <mergeCell ref="A10:A11"/>
    <mergeCell ref="A1:Y1"/>
    <mergeCell ref="B2:B3"/>
    <mergeCell ref="C2:C3"/>
    <mergeCell ref="F2:F3"/>
    <mergeCell ref="G2:H2"/>
    <mergeCell ref="I2:I3"/>
    <mergeCell ref="D2:D3"/>
    <mergeCell ref="N2:N3"/>
    <mergeCell ref="J2:J3"/>
    <mergeCell ref="K2:K3"/>
    <mergeCell ref="L2:L3"/>
    <mergeCell ref="M2:M3"/>
    <mergeCell ref="E2:E3"/>
    <mergeCell ref="O2:P2"/>
    <mergeCell ref="AB2:AB3"/>
    <mergeCell ref="AA2:AA3"/>
    <mergeCell ref="Q2:R2"/>
    <mergeCell ref="S2:T2"/>
    <mergeCell ref="U2:V2"/>
    <mergeCell ref="W2:X2"/>
    <mergeCell ref="Y2:Z2"/>
  </mergeCells>
  <phoneticPr fontId="2" type="noConversion"/>
  <pageMargins left="0.25" right="0.25" top="0.75" bottom="0.75" header="0.3" footer="0.3"/>
  <pageSetup paperSize="8" scale="3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Z62"/>
  <sheetViews>
    <sheetView topLeftCell="B1" zoomScale="90" zoomScaleNormal="90" workbookViewId="0">
      <pane xSplit="3" ySplit="3" topLeftCell="E4" activePane="bottomRight" state="frozen"/>
      <selection activeCell="B1" sqref="B1"/>
      <selection pane="topRight" activeCell="D1" sqref="D1"/>
      <selection pane="bottomLeft" activeCell="B4" sqref="B4"/>
      <selection pane="bottomRight" activeCell="I5" sqref="I5"/>
    </sheetView>
  </sheetViews>
  <sheetFormatPr defaultRowHeight="12.75" x14ac:dyDescent="0.2"/>
  <cols>
    <col min="1" max="1" width="5.7109375" customWidth="1"/>
    <col min="2" max="2" width="13.42578125" customWidth="1"/>
    <col min="3" max="3" width="13.140625" style="7" customWidth="1"/>
    <col min="4" max="5" width="29.7109375" style="5" customWidth="1"/>
    <col min="6" max="6" width="41.7109375" style="5" customWidth="1"/>
    <col min="7" max="7" width="37.140625" style="19" customWidth="1"/>
    <col min="8" max="9" width="19.28515625" style="11" customWidth="1"/>
    <col min="10" max="10" width="11" style="5" customWidth="1"/>
    <col min="11" max="11" width="14.140625" style="15" customWidth="1"/>
    <col min="12" max="12" width="12.42578125" style="14" hidden="1" customWidth="1"/>
    <col min="13" max="13" width="10.7109375" style="16" customWidth="1"/>
    <col min="14" max="14" width="10.7109375" style="17" hidden="1" customWidth="1"/>
    <col min="15" max="15" width="10.7109375" style="17" customWidth="1"/>
    <col min="16" max="16" width="15" style="17" customWidth="1"/>
    <col min="17" max="17" width="15.140625" style="17" customWidth="1"/>
    <col min="18" max="18" width="13.5703125" style="5" customWidth="1"/>
    <col min="19" max="19" width="16.42578125" style="5" customWidth="1"/>
    <col min="20" max="20" width="12.7109375" style="5" customWidth="1"/>
    <col min="21" max="21" width="15.42578125" style="5" customWidth="1"/>
    <col min="22" max="22" width="12.7109375" style="5" customWidth="1"/>
    <col min="23" max="24" width="15" style="5" customWidth="1"/>
    <col min="25" max="25" width="12" style="5" customWidth="1"/>
    <col min="26" max="26" width="13" style="5" customWidth="1"/>
    <col min="27" max="27" width="16" style="5" customWidth="1"/>
    <col min="28" max="28" width="12.7109375" style="5" customWidth="1"/>
    <col min="29" max="29" width="33.140625" style="5" customWidth="1"/>
    <col min="30" max="46" width="9.140625" style="5" customWidth="1"/>
  </cols>
  <sheetData>
    <row r="1" spans="1:78" ht="17.25" customHeight="1" thickBot="1" x14ac:dyDescent="0.3">
      <c r="A1" s="91" t="s">
        <v>112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78" ht="53.25" customHeight="1" x14ac:dyDescent="0.2">
      <c r="C2" s="115" t="s">
        <v>0</v>
      </c>
      <c r="D2" s="117" t="s">
        <v>1</v>
      </c>
      <c r="E2" s="119" t="s">
        <v>32</v>
      </c>
      <c r="F2" s="119" t="s">
        <v>40</v>
      </c>
      <c r="G2" s="119" t="s">
        <v>2</v>
      </c>
      <c r="H2" s="96" t="s">
        <v>3</v>
      </c>
      <c r="I2" s="96"/>
      <c r="J2" s="88" t="s">
        <v>26</v>
      </c>
      <c r="K2" s="125" t="s">
        <v>10</v>
      </c>
      <c r="L2" s="109" t="s">
        <v>12</v>
      </c>
      <c r="M2" s="111" t="s">
        <v>11</v>
      </c>
      <c r="N2" s="113" t="s">
        <v>4</v>
      </c>
      <c r="O2" s="123" t="s">
        <v>41</v>
      </c>
      <c r="P2" s="108" t="s">
        <v>42</v>
      </c>
      <c r="Q2" s="108"/>
      <c r="R2" s="88" t="s">
        <v>13</v>
      </c>
      <c r="S2" s="88"/>
      <c r="T2" s="90" t="s">
        <v>14</v>
      </c>
      <c r="U2" s="90"/>
      <c r="V2" s="90" t="s">
        <v>22</v>
      </c>
      <c r="W2" s="90"/>
      <c r="X2" s="121" t="s">
        <v>28</v>
      </c>
      <c r="Y2" s="122"/>
      <c r="Z2" s="90" t="s">
        <v>27</v>
      </c>
      <c r="AA2" s="90"/>
      <c r="AB2" s="88" t="s">
        <v>9</v>
      </c>
      <c r="AC2" s="86" t="s">
        <v>45</v>
      </c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36.950000000000003" customHeight="1" thickBot="1" x14ac:dyDescent="0.25">
      <c r="C3" s="116"/>
      <c r="D3" s="118"/>
      <c r="E3" s="120"/>
      <c r="F3" s="120"/>
      <c r="G3" s="120"/>
      <c r="H3" s="24" t="s">
        <v>34</v>
      </c>
      <c r="I3" s="24" t="s">
        <v>90</v>
      </c>
      <c r="J3" s="97"/>
      <c r="K3" s="126"/>
      <c r="L3" s="110"/>
      <c r="M3" s="112"/>
      <c r="N3" s="114"/>
      <c r="O3" s="124"/>
      <c r="P3" s="25" t="s">
        <v>43</v>
      </c>
      <c r="Q3" s="25" t="s">
        <v>44</v>
      </c>
      <c r="R3" s="26" t="s">
        <v>5</v>
      </c>
      <c r="S3" s="27" t="s">
        <v>6</v>
      </c>
      <c r="T3" s="26" t="s">
        <v>5</v>
      </c>
      <c r="U3" s="27" t="s">
        <v>6</v>
      </c>
      <c r="V3" s="26" t="s">
        <v>5</v>
      </c>
      <c r="W3" s="27" t="s">
        <v>6</v>
      </c>
      <c r="X3" s="27" t="s">
        <v>30</v>
      </c>
      <c r="Y3" s="27" t="s">
        <v>29</v>
      </c>
      <c r="Z3" s="26" t="s">
        <v>5</v>
      </c>
      <c r="AA3" s="27" t="s">
        <v>7</v>
      </c>
      <c r="AB3" s="89"/>
      <c r="AC3" s="87" t="s">
        <v>46</v>
      </c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ht="27.95" customHeight="1" thickBot="1" x14ac:dyDescent="0.25">
      <c r="C4" s="28"/>
      <c r="D4" s="29"/>
      <c r="E4" s="29"/>
      <c r="F4" s="29"/>
      <c r="G4" s="29"/>
      <c r="H4" s="30"/>
      <c r="I4" s="30"/>
      <c r="J4" s="34"/>
      <c r="K4" s="35"/>
      <c r="L4" s="36"/>
      <c r="M4" s="37"/>
      <c r="N4" s="31"/>
      <c r="O4" s="31"/>
      <c r="P4" s="31"/>
      <c r="Q4" s="31"/>
      <c r="R4" s="32" t="s">
        <v>8</v>
      </c>
      <c r="S4" s="32">
        <v>0.1</v>
      </c>
      <c r="T4" s="32" t="s">
        <v>8</v>
      </c>
      <c r="U4" s="32">
        <v>0.4</v>
      </c>
      <c r="V4" s="32" t="s">
        <v>8</v>
      </c>
      <c r="W4" s="32">
        <v>0.1</v>
      </c>
      <c r="X4" s="32" t="s">
        <v>8</v>
      </c>
      <c r="Y4" s="32">
        <v>0.2</v>
      </c>
      <c r="Z4" s="32" t="s">
        <v>8</v>
      </c>
      <c r="AA4" s="32">
        <v>0.2</v>
      </c>
      <c r="AB4" s="38"/>
      <c r="AC4" s="23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1:78" s="8" customFormat="1" ht="61.5" customHeight="1" x14ac:dyDescent="0.2">
      <c r="A5" s="2"/>
      <c r="B5" s="166" t="s">
        <v>154</v>
      </c>
      <c r="C5" s="137" t="s">
        <v>84</v>
      </c>
      <c r="D5" s="138" t="s">
        <v>105</v>
      </c>
      <c r="E5" s="157" t="s">
        <v>85</v>
      </c>
      <c r="F5" s="158" t="s">
        <v>86</v>
      </c>
      <c r="G5" s="158" t="s">
        <v>87</v>
      </c>
      <c r="H5" s="158" t="s">
        <v>141</v>
      </c>
      <c r="I5" s="158" t="s">
        <v>142</v>
      </c>
      <c r="J5" s="159">
        <v>0.15</v>
      </c>
      <c r="K5" s="143">
        <v>100000</v>
      </c>
      <c r="L5" s="160"/>
      <c r="M5" s="145">
        <v>70000</v>
      </c>
      <c r="N5" s="161"/>
      <c r="O5" s="146" t="s">
        <v>100</v>
      </c>
      <c r="P5" s="146" t="s">
        <v>100</v>
      </c>
      <c r="Q5" s="146" t="s">
        <v>100</v>
      </c>
      <c r="R5" s="162">
        <v>3</v>
      </c>
      <c r="S5" s="147">
        <f>(25*R5*0.1)/5</f>
        <v>1.5</v>
      </c>
      <c r="T5" s="147">
        <f>5+4+4+5+4</f>
        <v>22</v>
      </c>
      <c r="U5" s="147">
        <f>(25*T5*0.4)/5</f>
        <v>44</v>
      </c>
      <c r="V5" s="147">
        <f>5+4+4+5+3</f>
        <v>21</v>
      </c>
      <c r="W5" s="147">
        <f>(25*V5*0.1)/5</f>
        <v>10.5</v>
      </c>
      <c r="X5" s="147">
        <f>4+2+4+5+2</f>
        <v>17</v>
      </c>
      <c r="Y5" s="147">
        <f>(25*X5*0.2)/5</f>
        <v>17</v>
      </c>
      <c r="Z5" s="147">
        <f>5+5+5+5+4</f>
        <v>24</v>
      </c>
      <c r="AA5" s="147">
        <f>(25*Z5*0.2)/5</f>
        <v>24</v>
      </c>
      <c r="AB5" s="150">
        <f>S5+U5+W5+Y5+AA5</f>
        <v>97</v>
      </c>
      <c r="AC5" s="138" t="s">
        <v>123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 s="2" customFormat="1" ht="66.2" customHeight="1" x14ac:dyDescent="0.2">
      <c r="B6" s="165"/>
      <c r="C6" s="137" t="s">
        <v>75</v>
      </c>
      <c r="D6" s="138" t="s">
        <v>76</v>
      </c>
      <c r="E6" s="163">
        <v>27053644</v>
      </c>
      <c r="F6" s="158" t="s">
        <v>77</v>
      </c>
      <c r="G6" s="158" t="s">
        <v>78</v>
      </c>
      <c r="H6" s="199" t="s">
        <v>143</v>
      </c>
      <c r="I6" s="199" t="s">
        <v>144</v>
      </c>
      <c r="J6" s="159">
        <v>0.12</v>
      </c>
      <c r="K6" s="143">
        <v>91000</v>
      </c>
      <c r="L6" s="160"/>
      <c r="M6" s="145">
        <v>62000</v>
      </c>
      <c r="N6" s="161"/>
      <c r="O6" s="146" t="s">
        <v>100</v>
      </c>
      <c r="P6" s="146" t="s">
        <v>100</v>
      </c>
      <c r="Q6" s="146" t="s">
        <v>100</v>
      </c>
      <c r="R6" s="162">
        <v>2</v>
      </c>
      <c r="S6" s="147">
        <f>(25*R6*0.1)/5</f>
        <v>1</v>
      </c>
      <c r="T6" s="147">
        <f>4+4+4+5+4</f>
        <v>21</v>
      </c>
      <c r="U6" s="147">
        <f>(25*T6*0.4)/5</f>
        <v>42</v>
      </c>
      <c r="V6" s="147">
        <f>5+4+4+5+3</f>
        <v>21</v>
      </c>
      <c r="W6" s="147">
        <f>(25*V6*0.1)/5</f>
        <v>10.5</v>
      </c>
      <c r="X6" s="147">
        <f>4+3+4+5+3</f>
        <v>19</v>
      </c>
      <c r="Y6" s="147">
        <f>(25*X6*0.2)/5</f>
        <v>19</v>
      </c>
      <c r="Z6" s="147">
        <f>5+5+5+5+4</f>
        <v>24</v>
      </c>
      <c r="AA6" s="147">
        <f>(25*Z6*0.2)/5</f>
        <v>24</v>
      </c>
      <c r="AB6" s="150">
        <f>S6+U6+W6+Y6+AA6</f>
        <v>96.5</v>
      </c>
      <c r="AC6" s="138" t="s">
        <v>126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78" s="2" customFormat="1" ht="53.65" customHeight="1" x14ac:dyDescent="0.2">
      <c r="A7" s="20"/>
      <c r="B7" s="167"/>
      <c r="C7" s="137" t="s">
        <v>69</v>
      </c>
      <c r="D7" s="138" t="s">
        <v>56</v>
      </c>
      <c r="E7" s="157" t="s">
        <v>70</v>
      </c>
      <c r="F7" s="158" t="s">
        <v>57</v>
      </c>
      <c r="G7" s="158" t="s">
        <v>58</v>
      </c>
      <c r="H7" s="199" t="s">
        <v>145</v>
      </c>
      <c r="I7" s="199" t="s">
        <v>146</v>
      </c>
      <c r="J7" s="159">
        <v>0.14000000000000001</v>
      </c>
      <c r="K7" s="143">
        <v>60000</v>
      </c>
      <c r="L7" s="160"/>
      <c r="M7" s="145">
        <v>35000</v>
      </c>
      <c r="N7" s="161"/>
      <c r="O7" s="146" t="s">
        <v>100</v>
      </c>
      <c r="P7" s="146" t="s">
        <v>100</v>
      </c>
      <c r="Q7" s="146" t="s">
        <v>100</v>
      </c>
      <c r="R7" s="164">
        <v>1</v>
      </c>
      <c r="S7" s="147">
        <f>(25*R7*0.1)/5</f>
        <v>0.5</v>
      </c>
      <c r="T7" s="147">
        <f>3+3+5+4+5</f>
        <v>20</v>
      </c>
      <c r="U7" s="147">
        <f>(25*T7*0.4)/5</f>
        <v>40</v>
      </c>
      <c r="V7" s="147">
        <f>4+2+5+4+4</f>
        <v>19</v>
      </c>
      <c r="W7" s="147">
        <f>(25*V7*0.1)/5</f>
        <v>9.5</v>
      </c>
      <c r="X7" s="147">
        <f>3+4+5+5+5</f>
        <v>22</v>
      </c>
      <c r="Y7" s="147">
        <f>(25*X7*0.2)/5</f>
        <v>22</v>
      </c>
      <c r="Z7" s="147">
        <f>3+4+5+5+4</f>
        <v>21</v>
      </c>
      <c r="AA7" s="147">
        <f>(25*Z7*0.2)/5</f>
        <v>21</v>
      </c>
      <c r="AB7" s="150">
        <f>S7+U7+W7+Y7+AA7</f>
        <v>93</v>
      </c>
      <c r="AC7" s="138" t="s">
        <v>122</v>
      </c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</row>
    <row r="8" spans="1:78" s="2" customFormat="1" x14ac:dyDescent="0.2">
      <c r="C8" s="42" t="s">
        <v>101</v>
      </c>
      <c r="D8" s="4"/>
      <c r="E8" s="4"/>
      <c r="F8" s="4"/>
      <c r="G8" s="18"/>
      <c r="H8" s="10"/>
      <c r="I8" s="10"/>
      <c r="J8" s="4"/>
      <c r="K8" s="41">
        <f>SUM(K5:K7)</f>
        <v>251000</v>
      </c>
      <c r="L8" s="13"/>
      <c r="M8" s="69">
        <f>SUM(M5:M7)</f>
        <v>167000</v>
      </c>
      <c r="N8" s="17"/>
      <c r="O8" s="17"/>
      <c r="P8" s="17"/>
      <c r="Q8" s="17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78" s="2" customFormat="1" x14ac:dyDescent="0.2">
      <c r="C9" s="3"/>
      <c r="D9" s="4"/>
      <c r="E9" s="4"/>
      <c r="F9" s="4"/>
      <c r="G9" s="18"/>
      <c r="H9" s="10"/>
      <c r="I9" s="10"/>
      <c r="J9" s="4"/>
      <c r="K9" s="9"/>
      <c r="L9" s="13"/>
      <c r="M9" s="16"/>
      <c r="N9" s="17"/>
      <c r="O9" s="17"/>
      <c r="P9" s="17"/>
      <c r="Q9" s="17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78" s="2" customFormat="1" x14ac:dyDescent="0.2">
      <c r="C10" s="3"/>
      <c r="D10" s="4"/>
      <c r="E10" s="4"/>
      <c r="F10" s="4"/>
      <c r="G10" s="18"/>
      <c r="H10" s="10"/>
      <c r="I10" s="10"/>
      <c r="J10" s="4"/>
      <c r="K10" s="9"/>
      <c r="L10" s="13"/>
      <c r="M10" s="16"/>
      <c r="N10" s="17"/>
      <c r="O10" s="17"/>
      <c r="P10" s="17"/>
      <c r="Q10" s="17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78" s="2" customFormat="1" x14ac:dyDescent="0.2">
      <c r="C11" s="3"/>
      <c r="D11" s="4"/>
      <c r="E11" s="4"/>
      <c r="F11" s="4"/>
      <c r="G11" s="18"/>
      <c r="H11" s="10"/>
      <c r="I11" s="10"/>
      <c r="J11" s="4"/>
      <c r="K11" s="9"/>
      <c r="L11" s="13"/>
      <c r="M11" s="16"/>
      <c r="N11" s="17"/>
      <c r="O11" s="17"/>
      <c r="P11" s="17"/>
      <c r="Q11" s="17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78" s="2" customFormat="1" x14ac:dyDescent="0.2">
      <c r="C12" s="3"/>
      <c r="D12" s="4"/>
      <c r="E12" s="4"/>
      <c r="F12" s="4"/>
      <c r="G12" s="18"/>
      <c r="H12" s="10"/>
      <c r="I12" s="10"/>
      <c r="J12" s="4"/>
      <c r="K12" s="9"/>
      <c r="L12" s="13"/>
      <c r="M12" s="16"/>
      <c r="N12" s="17"/>
      <c r="O12" s="17"/>
      <c r="P12" s="17"/>
      <c r="Q12" s="17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78" s="2" customFormat="1" x14ac:dyDescent="0.2">
      <c r="C13" s="3"/>
      <c r="D13" s="4"/>
      <c r="E13" s="4"/>
      <c r="F13" s="4"/>
      <c r="G13" s="18"/>
      <c r="H13" s="10"/>
      <c r="I13" s="10"/>
      <c r="J13" s="4"/>
      <c r="K13" s="9"/>
      <c r="L13" s="13"/>
      <c r="M13" s="16"/>
      <c r="N13" s="17"/>
      <c r="O13" s="17"/>
      <c r="P13" s="17"/>
      <c r="Q13" s="17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78" s="2" customFormat="1" x14ac:dyDescent="0.2">
      <c r="C14" s="3"/>
      <c r="D14" s="4"/>
      <c r="E14" s="4"/>
      <c r="F14" s="4"/>
      <c r="G14" s="18"/>
      <c r="H14" s="10"/>
      <c r="I14" s="10"/>
      <c r="J14" s="4"/>
      <c r="K14" s="9"/>
      <c r="L14" s="13"/>
      <c r="M14" s="16"/>
      <c r="N14" s="17"/>
      <c r="O14" s="17"/>
      <c r="P14" s="17"/>
      <c r="Q14" s="1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78" s="2" customFormat="1" x14ac:dyDescent="0.2">
      <c r="C15" s="3"/>
      <c r="D15" s="4"/>
      <c r="E15" s="4"/>
      <c r="F15" s="4"/>
      <c r="G15" s="18"/>
      <c r="H15" s="10"/>
      <c r="I15" s="10"/>
      <c r="J15" s="4"/>
      <c r="K15" s="9"/>
      <c r="L15" s="13"/>
      <c r="M15" s="16"/>
      <c r="N15" s="17"/>
      <c r="O15" s="17"/>
      <c r="P15" s="17"/>
      <c r="Q15" s="1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78" s="2" customFormat="1" x14ac:dyDescent="0.2">
      <c r="C16" s="3"/>
      <c r="D16" s="4"/>
      <c r="E16" s="4"/>
      <c r="F16" s="4"/>
      <c r="G16" s="18"/>
      <c r="H16" s="10"/>
      <c r="I16" s="10"/>
      <c r="J16" s="4"/>
      <c r="K16" s="9"/>
      <c r="L16" s="13"/>
      <c r="M16" s="16"/>
      <c r="N16" s="17"/>
      <c r="O16" s="17"/>
      <c r="P16" s="17"/>
      <c r="Q16" s="1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3:46" s="2" customFormat="1" x14ac:dyDescent="0.2">
      <c r="C17" s="3"/>
      <c r="D17" s="4"/>
      <c r="E17" s="4"/>
      <c r="F17" s="4"/>
      <c r="G17" s="18"/>
      <c r="H17" s="10"/>
      <c r="I17" s="10"/>
      <c r="J17" s="4"/>
      <c r="K17" s="9"/>
      <c r="L17" s="13"/>
      <c r="M17" s="16"/>
      <c r="N17" s="17"/>
      <c r="O17" s="17"/>
      <c r="P17" s="17"/>
      <c r="Q17" s="1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3:46" s="2" customFormat="1" x14ac:dyDescent="0.2">
      <c r="C18" s="3"/>
      <c r="D18" s="4"/>
      <c r="E18" s="4"/>
      <c r="F18" s="4"/>
      <c r="G18" s="18"/>
      <c r="H18" s="10"/>
      <c r="I18" s="10"/>
      <c r="J18" s="4"/>
      <c r="K18" s="9"/>
      <c r="L18" s="13"/>
      <c r="M18" s="16"/>
      <c r="N18" s="17"/>
      <c r="O18" s="17"/>
      <c r="P18" s="17"/>
      <c r="Q18" s="1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3:46" s="2" customFormat="1" x14ac:dyDescent="0.2">
      <c r="C19" s="3"/>
      <c r="D19" s="4"/>
      <c r="E19" s="4"/>
      <c r="F19" s="4"/>
      <c r="G19" s="18"/>
      <c r="H19" s="10"/>
      <c r="I19" s="10"/>
      <c r="J19" s="4"/>
      <c r="K19" s="9"/>
      <c r="L19" s="13"/>
      <c r="M19" s="16"/>
      <c r="N19" s="17"/>
      <c r="O19" s="17"/>
      <c r="P19" s="17"/>
      <c r="Q19" s="1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3:46" s="2" customFormat="1" x14ac:dyDescent="0.2">
      <c r="C20" s="3"/>
      <c r="D20" s="4"/>
      <c r="E20" s="4"/>
      <c r="F20" s="4"/>
      <c r="G20" s="18"/>
      <c r="H20" s="10"/>
      <c r="I20" s="10"/>
      <c r="J20" s="4"/>
      <c r="K20" s="9"/>
      <c r="L20" s="13"/>
      <c r="M20" s="16"/>
      <c r="N20" s="17"/>
      <c r="O20" s="17"/>
      <c r="P20" s="17"/>
      <c r="Q20" s="1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3:46" s="2" customFormat="1" x14ac:dyDescent="0.2">
      <c r="C21" s="3"/>
      <c r="D21" s="4"/>
      <c r="E21" s="4"/>
      <c r="F21" s="4"/>
      <c r="G21" s="18"/>
      <c r="H21" s="10"/>
      <c r="I21" s="10"/>
      <c r="J21" s="4"/>
      <c r="K21" s="9"/>
      <c r="L21" s="13"/>
      <c r="M21" s="16"/>
      <c r="N21" s="17"/>
      <c r="O21" s="17"/>
      <c r="P21" s="17"/>
      <c r="Q21" s="1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3:46" s="2" customFormat="1" x14ac:dyDescent="0.2">
      <c r="C22" s="3"/>
      <c r="D22" s="4"/>
      <c r="E22" s="4"/>
      <c r="F22" s="4"/>
      <c r="G22" s="18"/>
      <c r="H22" s="10"/>
      <c r="I22" s="10"/>
      <c r="J22" s="4"/>
      <c r="K22" s="9"/>
      <c r="L22" s="13"/>
      <c r="M22" s="16"/>
      <c r="N22" s="17"/>
      <c r="O22" s="17"/>
      <c r="P22" s="17"/>
      <c r="Q22" s="1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3:46" s="2" customFormat="1" x14ac:dyDescent="0.2">
      <c r="C23" s="3"/>
      <c r="D23" s="4"/>
      <c r="E23" s="4"/>
      <c r="F23" s="4"/>
      <c r="G23" s="18"/>
      <c r="H23" s="10"/>
      <c r="I23" s="10"/>
      <c r="J23" s="4"/>
      <c r="K23" s="9"/>
      <c r="L23" s="13"/>
      <c r="M23" s="16"/>
      <c r="N23" s="17"/>
      <c r="O23" s="17"/>
      <c r="P23" s="17"/>
      <c r="Q23" s="17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3:46" s="2" customFormat="1" x14ac:dyDescent="0.2">
      <c r="C24" s="3"/>
      <c r="D24" s="4"/>
      <c r="E24" s="4"/>
      <c r="F24" s="4"/>
      <c r="G24" s="18"/>
      <c r="H24" s="10"/>
      <c r="I24" s="10"/>
      <c r="J24" s="4"/>
      <c r="K24" s="9"/>
      <c r="L24" s="13"/>
      <c r="M24" s="16"/>
      <c r="N24" s="17"/>
      <c r="O24" s="17"/>
      <c r="P24" s="17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3:46" s="2" customFormat="1" x14ac:dyDescent="0.2">
      <c r="C25" s="3"/>
      <c r="D25" s="4"/>
      <c r="E25" s="4"/>
      <c r="F25" s="4"/>
      <c r="G25" s="18"/>
      <c r="H25" s="10"/>
      <c r="I25" s="10"/>
      <c r="J25" s="4"/>
      <c r="K25" s="9"/>
      <c r="L25" s="13"/>
      <c r="M25" s="16"/>
      <c r="N25" s="17"/>
      <c r="O25" s="17"/>
      <c r="P25" s="17"/>
      <c r="Q25" s="17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3:46" s="2" customFormat="1" x14ac:dyDescent="0.2">
      <c r="C26" s="3"/>
      <c r="D26" s="4"/>
      <c r="E26" s="4"/>
      <c r="F26" s="4"/>
      <c r="G26" s="18"/>
      <c r="H26" s="10"/>
      <c r="I26" s="10"/>
      <c r="J26" s="4"/>
      <c r="K26" s="9"/>
      <c r="L26" s="13"/>
      <c r="M26" s="16"/>
      <c r="N26" s="17"/>
      <c r="O26" s="17"/>
      <c r="P26" s="17"/>
      <c r="Q26" s="17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3:46" s="2" customFormat="1" x14ac:dyDescent="0.2">
      <c r="C27" s="3"/>
      <c r="D27" s="4"/>
      <c r="E27" s="4"/>
      <c r="F27" s="4"/>
      <c r="G27" s="18"/>
      <c r="H27" s="10"/>
      <c r="I27" s="10"/>
      <c r="J27" s="4"/>
      <c r="K27" s="9"/>
      <c r="L27" s="13"/>
      <c r="M27" s="16"/>
      <c r="N27" s="17"/>
      <c r="O27" s="17"/>
      <c r="P27" s="17"/>
      <c r="Q27" s="17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3:46" s="2" customFormat="1" x14ac:dyDescent="0.2">
      <c r="C28" s="3"/>
      <c r="D28" s="4"/>
      <c r="E28" s="4"/>
      <c r="F28" s="4"/>
      <c r="G28" s="18"/>
      <c r="H28" s="10"/>
      <c r="I28" s="10"/>
      <c r="J28" s="4"/>
      <c r="K28" s="9"/>
      <c r="L28" s="13"/>
      <c r="M28" s="16"/>
      <c r="N28" s="17"/>
      <c r="O28" s="17"/>
      <c r="P28" s="17"/>
      <c r="Q28" s="17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3:46" s="2" customFormat="1" x14ac:dyDescent="0.2">
      <c r="C29" s="3"/>
      <c r="D29" s="4"/>
      <c r="E29" s="4"/>
      <c r="F29" s="4"/>
      <c r="G29" s="18"/>
      <c r="H29" s="10"/>
      <c r="I29" s="10"/>
      <c r="J29" s="4"/>
      <c r="K29" s="9"/>
      <c r="L29" s="13"/>
      <c r="M29" s="16"/>
      <c r="N29" s="17"/>
      <c r="O29" s="17"/>
      <c r="P29" s="17"/>
      <c r="Q29" s="17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3:46" s="2" customFormat="1" x14ac:dyDescent="0.2">
      <c r="C30" s="3"/>
      <c r="D30" s="4"/>
      <c r="E30" s="4"/>
      <c r="F30" s="4"/>
      <c r="G30" s="18"/>
      <c r="H30" s="10"/>
      <c r="I30" s="10"/>
      <c r="J30" s="4"/>
      <c r="K30" s="9"/>
      <c r="L30" s="13"/>
      <c r="M30" s="16"/>
      <c r="N30" s="17"/>
      <c r="O30" s="17"/>
      <c r="P30" s="17"/>
      <c r="Q30" s="17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3:46" s="2" customFormat="1" x14ac:dyDescent="0.2">
      <c r="C31" s="3"/>
      <c r="D31" s="4"/>
      <c r="E31" s="4"/>
      <c r="F31" s="4"/>
      <c r="G31" s="18"/>
      <c r="H31" s="10"/>
      <c r="I31" s="10"/>
      <c r="J31" s="4"/>
      <c r="K31" s="9"/>
      <c r="L31" s="13"/>
      <c r="M31" s="16"/>
      <c r="N31" s="17"/>
      <c r="O31" s="17"/>
      <c r="P31" s="17"/>
      <c r="Q31" s="17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3:46" s="2" customFormat="1" x14ac:dyDescent="0.2">
      <c r="C32" s="3"/>
      <c r="D32" s="4"/>
      <c r="E32" s="4"/>
      <c r="F32" s="4"/>
      <c r="G32" s="18"/>
      <c r="H32" s="10"/>
      <c r="I32" s="10"/>
      <c r="J32" s="4"/>
      <c r="K32" s="9"/>
      <c r="L32" s="13"/>
      <c r="M32" s="16"/>
      <c r="N32" s="17"/>
      <c r="O32" s="17"/>
      <c r="P32" s="17"/>
      <c r="Q32" s="1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3:46" s="2" customFormat="1" x14ac:dyDescent="0.2">
      <c r="C33" s="3"/>
      <c r="D33" s="4"/>
      <c r="E33" s="4"/>
      <c r="F33" s="4"/>
      <c r="G33" s="18"/>
      <c r="H33" s="10"/>
      <c r="I33" s="10"/>
      <c r="J33" s="4"/>
      <c r="K33" s="9"/>
      <c r="L33" s="13"/>
      <c r="M33" s="16"/>
      <c r="N33" s="17"/>
      <c r="O33" s="17"/>
      <c r="P33" s="17"/>
      <c r="Q33" s="17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3:46" s="2" customFormat="1" x14ac:dyDescent="0.2">
      <c r="C34" s="3"/>
      <c r="D34" s="4"/>
      <c r="E34" s="4"/>
      <c r="F34" s="4"/>
      <c r="G34" s="18"/>
      <c r="H34" s="10"/>
      <c r="I34" s="10"/>
      <c r="J34" s="4"/>
      <c r="K34" s="9"/>
      <c r="L34" s="13"/>
      <c r="M34" s="16"/>
      <c r="N34" s="17"/>
      <c r="O34" s="17"/>
      <c r="P34" s="17"/>
      <c r="Q34" s="17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3:46" s="2" customFormat="1" x14ac:dyDescent="0.2">
      <c r="C35" s="3"/>
      <c r="D35" s="4"/>
      <c r="E35" s="4"/>
      <c r="F35" s="4"/>
      <c r="G35" s="18"/>
      <c r="H35" s="10"/>
      <c r="I35" s="10"/>
      <c r="J35" s="4"/>
      <c r="K35" s="9"/>
      <c r="L35" s="13"/>
      <c r="M35" s="16"/>
      <c r="N35" s="17"/>
      <c r="O35" s="17"/>
      <c r="P35" s="17"/>
      <c r="Q35" s="17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3:46" s="2" customFormat="1" x14ac:dyDescent="0.2">
      <c r="C36" s="3"/>
      <c r="D36" s="4"/>
      <c r="E36" s="4"/>
      <c r="F36" s="4"/>
      <c r="G36" s="18"/>
      <c r="H36" s="10"/>
      <c r="I36" s="10"/>
      <c r="J36" s="4"/>
      <c r="K36" s="9"/>
      <c r="L36" s="13"/>
      <c r="M36" s="16"/>
      <c r="N36" s="17"/>
      <c r="O36" s="17"/>
      <c r="P36" s="17"/>
      <c r="Q36" s="1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3:46" s="2" customFormat="1" x14ac:dyDescent="0.2">
      <c r="C37" s="3"/>
      <c r="D37" s="4"/>
      <c r="E37" s="4"/>
      <c r="F37" s="4"/>
      <c r="G37" s="18"/>
      <c r="H37" s="10"/>
      <c r="I37" s="10"/>
      <c r="J37" s="4"/>
      <c r="K37" s="9"/>
      <c r="L37" s="13"/>
      <c r="M37" s="16"/>
      <c r="N37" s="17"/>
      <c r="O37" s="17"/>
      <c r="P37" s="17"/>
      <c r="Q37" s="1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3:46" s="2" customFormat="1" x14ac:dyDescent="0.2">
      <c r="C38" s="3"/>
      <c r="D38" s="4"/>
      <c r="E38" s="4"/>
      <c r="F38" s="4"/>
      <c r="G38" s="18"/>
      <c r="H38" s="10"/>
      <c r="I38" s="10"/>
      <c r="J38" s="4"/>
      <c r="K38" s="9"/>
      <c r="L38" s="13"/>
      <c r="M38" s="16"/>
      <c r="N38" s="17"/>
      <c r="O38" s="17"/>
      <c r="P38" s="17"/>
      <c r="Q38" s="1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3:46" s="2" customFormat="1" x14ac:dyDescent="0.2">
      <c r="C39" s="3"/>
      <c r="D39" s="4"/>
      <c r="E39" s="4"/>
      <c r="F39" s="4"/>
      <c r="G39" s="18"/>
      <c r="H39" s="10"/>
      <c r="I39" s="10"/>
      <c r="J39" s="4"/>
      <c r="K39" s="9"/>
      <c r="L39" s="13"/>
      <c r="M39" s="16"/>
      <c r="N39" s="17"/>
      <c r="O39" s="17"/>
      <c r="P39" s="17"/>
      <c r="Q39" s="1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3:46" s="2" customFormat="1" x14ac:dyDescent="0.2">
      <c r="C40" s="3"/>
      <c r="D40" s="4"/>
      <c r="E40" s="4"/>
      <c r="F40" s="4"/>
      <c r="G40" s="18"/>
      <c r="H40" s="10"/>
      <c r="I40" s="10"/>
      <c r="J40" s="4"/>
      <c r="K40" s="9"/>
      <c r="L40" s="13"/>
      <c r="M40" s="16"/>
      <c r="N40" s="17"/>
      <c r="O40" s="17"/>
      <c r="P40" s="17"/>
      <c r="Q40" s="1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3:46" s="2" customFormat="1" x14ac:dyDescent="0.2">
      <c r="C41" s="3"/>
      <c r="D41" s="4"/>
      <c r="E41" s="4"/>
      <c r="F41" s="4"/>
      <c r="G41" s="18"/>
      <c r="H41" s="10"/>
      <c r="I41" s="10"/>
      <c r="J41" s="4"/>
      <c r="K41" s="9"/>
      <c r="L41" s="13"/>
      <c r="M41" s="16"/>
      <c r="N41" s="17"/>
      <c r="O41" s="17"/>
      <c r="P41" s="17"/>
      <c r="Q41" s="1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3:46" s="2" customFormat="1" x14ac:dyDescent="0.2">
      <c r="C42" s="3"/>
      <c r="D42" s="4"/>
      <c r="E42" s="4"/>
      <c r="F42" s="4"/>
      <c r="G42" s="18"/>
      <c r="H42" s="10"/>
      <c r="I42" s="10"/>
      <c r="J42" s="4"/>
      <c r="K42" s="9"/>
      <c r="L42" s="13"/>
      <c r="M42" s="16"/>
      <c r="N42" s="17"/>
      <c r="O42" s="17"/>
      <c r="P42" s="17"/>
      <c r="Q42" s="1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3:46" s="2" customFormat="1" x14ac:dyDescent="0.2">
      <c r="C43" s="3"/>
      <c r="D43" s="4"/>
      <c r="E43" s="4"/>
      <c r="F43" s="4"/>
      <c r="G43" s="18"/>
      <c r="H43" s="10"/>
      <c r="I43" s="10"/>
      <c r="J43" s="4"/>
      <c r="K43" s="9"/>
      <c r="L43" s="13"/>
      <c r="M43" s="16"/>
      <c r="N43" s="17"/>
      <c r="O43" s="17"/>
      <c r="P43" s="17"/>
      <c r="Q43" s="1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3:46" s="2" customFormat="1" x14ac:dyDescent="0.2">
      <c r="C44" s="3"/>
      <c r="D44" s="4"/>
      <c r="E44" s="4"/>
      <c r="F44" s="4"/>
      <c r="G44" s="18"/>
      <c r="H44" s="10"/>
      <c r="I44" s="10"/>
      <c r="J44" s="4"/>
      <c r="K44" s="9"/>
      <c r="L44" s="13"/>
      <c r="M44" s="16"/>
      <c r="N44" s="17"/>
      <c r="O44" s="17"/>
      <c r="P44" s="17"/>
      <c r="Q44" s="1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3:46" s="2" customFormat="1" x14ac:dyDescent="0.2">
      <c r="C45" s="3"/>
      <c r="D45" s="4"/>
      <c r="E45" s="4"/>
      <c r="F45" s="4"/>
      <c r="G45" s="18"/>
      <c r="H45" s="10"/>
      <c r="I45" s="10"/>
      <c r="J45" s="4"/>
      <c r="K45" s="9"/>
      <c r="L45" s="13"/>
      <c r="M45" s="16"/>
      <c r="N45" s="17"/>
      <c r="O45" s="17"/>
      <c r="P45" s="17"/>
      <c r="Q45" s="1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3:46" s="2" customFormat="1" x14ac:dyDescent="0.2">
      <c r="C46" s="3"/>
      <c r="D46" s="4"/>
      <c r="E46" s="4"/>
      <c r="F46" s="4"/>
      <c r="G46" s="18"/>
      <c r="H46" s="10"/>
      <c r="I46" s="10"/>
      <c r="J46" s="4"/>
      <c r="K46" s="9"/>
      <c r="L46" s="13"/>
      <c r="M46" s="16"/>
      <c r="N46" s="17"/>
      <c r="O46" s="17"/>
      <c r="P46" s="17"/>
      <c r="Q46" s="1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3:46" s="2" customFormat="1" x14ac:dyDescent="0.2">
      <c r="C47" s="3"/>
      <c r="D47" s="4"/>
      <c r="E47" s="4"/>
      <c r="F47" s="4"/>
      <c r="G47" s="18"/>
      <c r="H47" s="10"/>
      <c r="I47" s="10"/>
      <c r="J47" s="4"/>
      <c r="K47" s="9"/>
      <c r="L47" s="13"/>
      <c r="M47" s="16"/>
      <c r="N47" s="17"/>
      <c r="O47" s="17"/>
      <c r="P47" s="17"/>
      <c r="Q47" s="1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3:46" s="2" customFormat="1" x14ac:dyDescent="0.2">
      <c r="C48" s="3"/>
      <c r="D48" s="4"/>
      <c r="E48" s="4"/>
      <c r="F48" s="4"/>
      <c r="G48" s="18"/>
      <c r="H48" s="10"/>
      <c r="I48" s="10"/>
      <c r="J48" s="4"/>
      <c r="K48" s="9"/>
      <c r="L48" s="13"/>
      <c r="M48" s="16"/>
      <c r="N48" s="17"/>
      <c r="O48" s="17"/>
      <c r="P48" s="17"/>
      <c r="Q48" s="1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3:46" s="2" customFormat="1" x14ac:dyDescent="0.2">
      <c r="C49" s="3"/>
      <c r="D49" s="4"/>
      <c r="E49" s="4"/>
      <c r="F49" s="4"/>
      <c r="G49" s="18"/>
      <c r="H49" s="10"/>
      <c r="I49" s="10"/>
      <c r="J49" s="4"/>
      <c r="K49" s="9"/>
      <c r="L49" s="13"/>
      <c r="M49" s="16"/>
      <c r="N49" s="17"/>
      <c r="O49" s="17"/>
      <c r="P49" s="17"/>
      <c r="Q49" s="1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3:46" s="2" customFormat="1" x14ac:dyDescent="0.2">
      <c r="C50" s="3"/>
      <c r="D50" s="4"/>
      <c r="E50" s="4"/>
      <c r="F50" s="4"/>
      <c r="G50" s="18"/>
      <c r="H50" s="10"/>
      <c r="I50" s="10"/>
      <c r="J50" s="4"/>
      <c r="K50" s="9"/>
      <c r="L50" s="13"/>
      <c r="M50" s="16"/>
      <c r="N50" s="17"/>
      <c r="O50" s="17"/>
      <c r="P50" s="17"/>
      <c r="Q50" s="1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3:46" s="2" customFormat="1" x14ac:dyDescent="0.2">
      <c r="C51" s="3"/>
      <c r="D51" s="4"/>
      <c r="E51" s="4"/>
      <c r="F51" s="4"/>
      <c r="G51" s="18"/>
      <c r="H51" s="10"/>
      <c r="I51" s="10"/>
      <c r="J51" s="4"/>
      <c r="K51" s="9"/>
      <c r="L51" s="13"/>
      <c r="M51" s="16"/>
      <c r="N51" s="17"/>
      <c r="O51" s="17"/>
      <c r="P51" s="17"/>
      <c r="Q51" s="1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3:46" s="2" customFormat="1" x14ac:dyDescent="0.2">
      <c r="C52" s="3"/>
      <c r="D52" s="4"/>
      <c r="E52" s="4"/>
      <c r="F52" s="4"/>
      <c r="G52" s="18"/>
      <c r="H52" s="10"/>
      <c r="I52" s="10"/>
      <c r="J52" s="4"/>
      <c r="K52" s="9"/>
      <c r="L52" s="13"/>
      <c r="M52" s="16"/>
      <c r="N52" s="17"/>
      <c r="O52" s="17"/>
      <c r="P52" s="17"/>
      <c r="Q52" s="1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3:46" s="2" customFormat="1" x14ac:dyDescent="0.2">
      <c r="C53" s="3"/>
      <c r="D53" s="4"/>
      <c r="E53" s="4"/>
      <c r="F53" s="4"/>
      <c r="G53" s="18"/>
      <c r="H53" s="10"/>
      <c r="I53" s="10"/>
      <c r="J53" s="4"/>
      <c r="K53" s="9"/>
      <c r="L53" s="13"/>
      <c r="M53" s="16"/>
      <c r="N53" s="17"/>
      <c r="O53" s="17"/>
      <c r="P53" s="17"/>
      <c r="Q53" s="1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3:46" s="2" customFormat="1" x14ac:dyDescent="0.2">
      <c r="C54" s="3"/>
      <c r="D54" s="4"/>
      <c r="E54" s="4"/>
      <c r="F54" s="4"/>
      <c r="G54" s="18"/>
      <c r="H54" s="10"/>
      <c r="I54" s="10"/>
      <c r="J54" s="4"/>
      <c r="K54" s="9"/>
      <c r="L54" s="13"/>
      <c r="M54" s="16"/>
      <c r="N54" s="17"/>
      <c r="O54" s="17"/>
      <c r="P54" s="17"/>
      <c r="Q54" s="1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3:46" s="2" customFormat="1" x14ac:dyDescent="0.2">
      <c r="C55" s="3"/>
      <c r="D55" s="4"/>
      <c r="E55" s="4"/>
      <c r="F55" s="4"/>
      <c r="G55" s="18"/>
      <c r="H55" s="10"/>
      <c r="I55" s="10"/>
      <c r="J55" s="4"/>
      <c r="K55" s="9"/>
      <c r="L55" s="13"/>
      <c r="M55" s="16"/>
      <c r="N55" s="17"/>
      <c r="O55" s="17"/>
      <c r="P55" s="17"/>
      <c r="Q55" s="1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3:46" s="2" customFormat="1" x14ac:dyDescent="0.2">
      <c r="C56" s="3"/>
      <c r="D56" s="4"/>
      <c r="E56" s="4"/>
      <c r="F56" s="4"/>
      <c r="G56" s="18"/>
      <c r="H56" s="10"/>
      <c r="I56" s="10"/>
      <c r="J56" s="4"/>
      <c r="K56" s="9"/>
      <c r="L56" s="13"/>
      <c r="M56" s="16"/>
      <c r="N56" s="17"/>
      <c r="O56" s="17"/>
      <c r="P56" s="17"/>
      <c r="Q56" s="17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3:46" s="2" customFormat="1" x14ac:dyDescent="0.2">
      <c r="C57" s="3"/>
      <c r="D57" s="4"/>
      <c r="E57" s="4"/>
      <c r="F57" s="4"/>
      <c r="G57" s="18"/>
      <c r="H57" s="10"/>
      <c r="I57" s="10"/>
      <c r="J57" s="4"/>
      <c r="K57" s="9"/>
      <c r="L57" s="13"/>
      <c r="M57" s="16"/>
      <c r="N57" s="17"/>
      <c r="O57" s="17"/>
      <c r="P57" s="17"/>
      <c r="Q57" s="17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3:46" s="2" customFormat="1" x14ac:dyDescent="0.2">
      <c r="C58" s="3"/>
      <c r="D58" s="4"/>
      <c r="E58" s="4"/>
      <c r="F58" s="4"/>
      <c r="G58" s="18"/>
      <c r="H58" s="10"/>
      <c r="I58" s="10"/>
      <c r="J58" s="4"/>
      <c r="K58" s="9"/>
      <c r="L58" s="13"/>
      <c r="M58" s="16"/>
      <c r="N58" s="17"/>
      <c r="O58" s="17"/>
      <c r="P58" s="17"/>
      <c r="Q58" s="17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3:46" s="2" customFormat="1" x14ac:dyDescent="0.2">
      <c r="C59" s="3"/>
      <c r="D59" s="4"/>
      <c r="E59" s="4"/>
      <c r="F59" s="4"/>
      <c r="G59" s="18"/>
      <c r="H59" s="10"/>
      <c r="I59" s="10"/>
      <c r="J59" s="4"/>
      <c r="K59" s="9"/>
      <c r="L59" s="13"/>
      <c r="M59" s="16"/>
      <c r="N59" s="17"/>
      <c r="O59" s="17"/>
      <c r="P59" s="17"/>
      <c r="Q59" s="17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3:46" s="2" customFormat="1" x14ac:dyDescent="0.2">
      <c r="C60" s="3"/>
      <c r="D60" s="4"/>
      <c r="E60" s="4"/>
      <c r="F60" s="4"/>
      <c r="G60" s="18"/>
      <c r="H60" s="10"/>
      <c r="I60" s="10"/>
      <c r="J60" s="4"/>
      <c r="K60" s="9"/>
      <c r="L60" s="13"/>
      <c r="M60" s="16"/>
      <c r="N60" s="17"/>
      <c r="O60" s="17"/>
      <c r="P60" s="17"/>
      <c r="Q60" s="17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3:46" s="2" customFormat="1" x14ac:dyDescent="0.2">
      <c r="C61" s="3"/>
      <c r="D61" s="4"/>
      <c r="E61" s="4"/>
      <c r="F61" s="4"/>
      <c r="G61" s="18"/>
      <c r="H61" s="10"/>
      <c r="I61" s="10"/>
      <c r="J61" s="4"/>
      <c r="K61" s="9"/>
      <c r="L61" s="13"/>
      <c r="M61" s="16"/>
      <c r="N61" s="17"/>
      <c r="O61" s="17"/>
      <c r="P61" s="17"/>
      <c r="Q61" s="17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3:46" s="2" customFormat="1" x14ac:dyDescent="0.2">
      <c r="C62" s="3"/>
      <c r="D62" s="4"/>
      <c r="E62" s="4"/>
      <c r="F62" s="4"/>
      <c r="G62" s="18"/>
      <c r="H62" s="10"/>
      <c r="I62" s="10"/>
      <c r="J62" s="4"/>
      <c r="K62" s="9"/>
      <c r="L62" s="13"/>
      <c r="M62" s="16"/>
      <c r="N62" s="17"/>
      <c r="O62" s="17"/>
      <c r="P62" s="17"/>
      <c r="Q62" s="17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</sheetData>
  <sortState ref="A5:BZ7">
    <sortCondition descending="1" ref="AB5:AB7"/>
  </sortState>
  <mergeCells count="22">
    <mergeCell ref="B5:B7"/>
    <mergeCell ref="A1:AB1"/>
    <mergeCell ref="C2:C3"/>
    <mergeCell ref="D2:D3"/>
    <mergeCell ref="G2:G3"/>
    <mergeCell ref="H2:I2"/>
    <mergeCell ref="X2:Y2"/>
    <mergeCell ref="AB2:AB3"/>
    <mergeCell ref="R2:S2"/>
    <mergeCell ref="T2:U2"/>
    <mergeCell ref="V2:W2"/>
    <mergeCell ref="Z2:AA2"/>
    <mergeCell ref="E2:E3"/>
    <mergeCell ref="O2:O3"/>
    <mergeCell ref="J2:J3"/>
    <mergeCell ref="F2:F3"/>
    <mergeCell ref="K2:K3"/>
    <mergeCell ref="L2:L3"/>
    <mergeCell ref="M2:M3"/>
    <mergeCell ref="P2:Q2"/>
    <mergeCell ref="AC2:AC3"/>
    <mergeCell ref="N2:N3"/>
  </mergeCells>
  <phoneticPr fontId="2" type="noConversion"/>
  <pageMargins left="0.25" right="0.25" top="0.75" bottom="0.75" header="0.3" footer="0.3"/>
  <pageSetup paperSize="8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B1:BY67"/>
  <sheetViews>
    <sheetView zoomScaleNormal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I16" sqref="I16"/>
    </sheetView>
  </sheetViews>
  <sheetFormatPr defaultRowHeight="12.75" x14ac:dyDescent="0.2"/>
  <cols>
    <col min="1" max="1" width="6.5703125" customWidth="1"/>
    <col min="2" max="2" width="10" customWidth="1"/>
    <col min="3" max="3" width="10" style="7" customWidth="1"/>
    <col min="4" max="4" width="33.42578125" style="5" customWidth="1"/>
    <col min="5" max="5" width="17.5703125" style="5" customWidth="1"/>
    <col min="6" max="6" width="33.42578125" style="5" customWidth="1"/>
    <col min="7" max="7" width="39.7109375" style="19" customWidth="1"/>
    <col min="8" max="8" width="15" style="11" customWidth="1"/>
    <col min="9" max="9" width="15.7109375" style="11" customWidth="1"/>
    <col min="10" max="10" width="10.28515625" style="5" customWidth="1"/>
    <col min="11" max="11" width="13.42578125" style="15" customWidth="1"/>
    <col min="12" max="12" width="10.140625" style="14" hidden="1" customWidth="1"/>
    <col min="13" max="13" width="10.7109375" style="16" customWidth="1"/>
    <col min="14" max="14" width="10.7109375" style="17" hidden="1" customWidth="1"/>
    <col min="15" max="15" width="10.7109375" style="17" customWidth="1"/>
    <col min="16" max="16" width="13.42578125" style="17" customWidth="1"/>
    <col min="17" max="17" width="16.28515625" style="17" customWidth="1"/>
    <col min="18" max="25" width="13.7109375" style="5" customWidth="1"/>
    <col min="26" max="26" width="30.42578125" style="5" customWidth="1"/>
    <col min="27" max="27" width="23.5703125" style="5" customWidth="1"/>
    <col min="28" max="28" width="12.140625" style="5" customWidth="1"/>
    <col min="29" max="29" width="58.7109375" style="5" customWidth="1"/>
    <col min="30" max="45" width="9.140625" style="5" customWidth="1"/>
  </cols>
  <sheetData>
    <row r="1" spans="2:77" ht="17.25" customHeight="1" thickBot="1" x14ac:dyDescent="0.3">
      <c r="B1" s="65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2:77" ht="66.400000000000006" customHeight="1" x14ac:dyDescent="0.2">
      <c r="C2" s="130" t="s">
        <v>0</v>
      </c>
      <c r="D2" s="119" t="s">
        <v>1</v>
      </c>
      <c r="E2" s="119" t="s">
        <v>32</v>
      </c>
      <c r="F2" s="119" t="s">
        <v>40</v>
      </c>
      <c r="G2" s="94" t="s">
        <v>2</v>
      </c>
      <c r="H2" s="132" t="s">
        <v>3</v>
      </c>
      <c r="I2" s="133"/>
      <c r="J2" s="94" t="s">
        <v>26</v>
      </c>
      <c r="K2" s="76" t="s">
        <v>10</v>
      </c>
      <c r="L2" s="78" t="s">
        <v>12</v>
      </c>
      <c r="M2" s="80" t="s">
        <v>11</v>
      </c>
      <c r="N2" s="82" t="s">
        <v>4</v>
      </c>
      <c r="O2" s="98" t="s">
        <v>41</v>
      </c>
      <c r="P2" s="134" t="s">
        <v>42</v>
      </c>
      <c r="Q2" s="133"/>
      <c r="R2" s="121" t="s">
        <v>16</v>
      </c>
      <c r="S2" s="133"/>
      <c r="T2" s="121" t="s">
        <v>20</v>
      </c>
      <c r="U2" s="133"/>
      <c r="V2" s="121" t="s">
        <v>21</v>
      </c>
      <c r="W2" s="133"/>
      <c r="X2" s="121" t="s">
        <v>17</v>
      </c>
      <c r="Y2" s="133"/>
      <c r="Z2" s="75" t="s">
        <v>18</v>
      </c>
      <c r="AA2" s="75" t="s">
        <v>19</v>
      </c>
      <c r="AB2" s="94" t="s">
        <v>9</v>
      </c>
      <c r="AC2" s="127" t="s">
        <v>45</v>
      </c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2:77" ht="36.75" thickBot="1" x14ac:dyDescent="0.25">
      <c r="C3" s="131"/>
      <c r="D3" s="129"/>
      <c r="E3" s="129"/>
      <c r="F3" s="129"/>
      <c r="G3" s="129"/>
      <c r="H3" s="24" t="s">
        <v>38</v>
      </c>
      <c r="I3" s="24" t="s">
        <v>39</v>
      </c>
      <c r="J3" s="129"/>
      <c r="K3" s="77"/>
      <c r="L3" s="79"/>
      <c r="M3" s="81"/>
      <c r="N3" s="83"/>
      <c r="O3" s="129"/>
      <c r="P3" s="25" t="s">
        <v>43</v>
      </c>
      <c r="Q3" s="25" t="s">
        <v>44</v>
      </c>
      <c r="R3" s="26" t="s">
        <v>5</v>
      </c>
      <c r="S3" s="27" t="s">
        <v>6</v>
      </c>
      <c r="T3" s="26" t="s">
        <v>5</v>
      </c>
      <c r="U3" s="27" t="s">
        <v>6</v>
      </c>
      <c r="V3" s="26" t="s">
        <v>5</v>
      </c>
      <c r="W3" s="27" t="s">
        <v>6</v>
      </c>
      <c r="X3" s="26" t="s">
        <v>5</v>
      </c>
      <c r="Y3" s="27" t="s">
        <v>6</v>
      </c>
      <c r="Z3" s="67"/>
      <c r="AA3" s="67"/>
      <c r="AB3" s="129"/>
      <c r="AC3" s="128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2:77" ht="27.95" customHeight="1" thickBot="1" x14ac:dyDescent="0.25">
      <c r="C4" s="28"/>
      <c r="D4" s="29"/>
      <c r="E4" s="29"/>
      <c r="F4" s="29"/>
      <c r="G4" s="29"/>
      <c r="H4" s="30"/>
      <c r="I4" s="30"/>
      <c r="J4" s="34"/>
      <c r="K4" s="35"/>
      <c r="L4" s="36"/>
      <c r="M4" s="37"/>
      <c r="N4" s="31"/>
      <c r="O4" s="31"/>
      <c r="P4" s="31"/>
      <c r="Q4" s="31"/>
      <c r="R4" s="32" t="s">
        <v>8</v>
      </c>
      <c r="S4" s="32">
        <v>0.4</v>
      </c>
      <c r="T4" s="32" t="s">
        <v>8</v>
      </c>
      <c r="U4" s="32">
        <v>0.3</v>
      </c>
      <c r="V4" s="32" t="s">
        <v>8</v>
      </c>
      <c r="W4" s="32">
        <v>0.1</v>
      </c>
      <c r="X4" s="32" t="s">
        <v>8</v>
      </c>
      <c r="Y4" s="32">
        <v>0.2</v>
      </c>
      <c r="Z4" s="66"/>
      <c r="AA4" s="66"/>
      <c r="AB4" s="32"/>
      <c r="AC4" s="39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2:77" s="2" customFormat="1" ht="39.950000000000003" customHeight="1" x14ac:dyDescent="0.2">
      <c r="B5" s="154" t="s">
        <v>154</v>
      </c>
      <c r="C5" s="137" t="s">
        <v>96</v>
      </c>
      <c r="D5" s="138" t="s">
        <v>97</v>
      </c>
      <c r="E5" s="139" t="s">
        <v>98</v>
      </c>
      <c r="F5" s="140" t="s">
        <v>99</v>
      </c>
      <c r="G5" s="141" t="s">
        <v>119</v>
      </c>
      <c r="H5" s="202" t="s">
        <v>147</v>
      </c>
      <c r="I5" s="202" t="s">
        <v>144</v>
      </c>
      <c r="J5" s="142">
        <v>0.18</v>
      </c>
      <c r="K5" s="143">
        <v>40000</v>
      </c>
      <c r="L5" s="144"/>
      <c r="M5" s="145">
        <v>40000</v>
      </c>
      <c r="N5" s="144"/>
      <c r="O5" s="146" t="s">
        <v>100</v>
      </c>
      <c r="P5" s="146" t="s">
        <v>100</v>
      </c>
      <c r="Q5" s="146" t="s">
        <v>100</v>
      </c>
      <c r="R5" s="147">
        <f>4+5+5+5+3</f>
        <v>22</v>
      </c>
      <c r="S5" s="147">
        <f>(20*R5*0.4)/5</f>
        <v>35.200000000000003</v>
      </c>
      <c r="T5" s="147">
        <f>3+5+4+5+4</f>
        <v>21</v>
      </c>
      <c r="U5" s="147">
        <f>(20*T5*0.3)/5</f>
        <v>25.2</v>
      </c>
      <c r="V5" s="147">
        <f>4+5+5+5+4</f>
        <v>23</v>
      </c>
      <c r="W5" s="147">
        <f>(20*V5*0.1)/5</f>
        <v>9.1999999999999993</v>
      </c>
      <c r="X5" s="147">
        <f>4+5+5+5+2</f>
        <v>21</v>
      </c>
      <c r="Y5" s="147">
        <f>(20*X5*0.2)/5</f>
        <v>16.8</v>
      </c>
      <c r="Z5" s="148" t="s">
        <v>106</v>
      </c>
      <c r="AA5" s="149" t="s">
        <v>107</v>
      </c>
      <c r="AB5" s="150">
        <f>S5+U5+W5+Y5</f>
        <v>86.4</v>
      </c>
      <c r="AC5" s="147" t="s">
        <v>121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77" s="2" customFormat="1" ht="39.950000000000003" customHeight="1" x14ac:dyDescent="0.2">
      <c r="B6" s="155"/>
      <c r="C6" s="137" t="s">
        <v>71</v>
      </c>
      <c r="D6" s="151" t="s">
        <v>72</v>
      </c>
      <c r="E6" s="140" t="s">
        <v>156</v>
      </c>
      <c r="F6" s="140" t="s">
        <v>156</v>
      </c>
      <c r="G6" s="141" t="s">
        <v>120</v>
      </c>
      <c r="H6" s="198" t="s">
        <v>148</v>
      </c>
      <c r="I6" s="198" t="s">
        <v>149</v>
      </c>
      <c r="J6" s="142">
        <v>0.17</v>
      </c>
      <c r="K6" s="143">
        <v>25000</v>
      </c>
      <c r="L6" s="144"/>
      <c r="M6" s="145">
        <v>25000</v>
      </c>
      <c r="N6" s="144"/>
      <c r="O6" s="146" t="s">
        <v>100</v>
      </c>
      <c r="P6" s="146" t="s">
        <v>100</v>
      </c>
      <c r="Q6" s="146" t="s">
        <v>100</v>
      </c>
      <c r="R6" s="147">
        <f>5+5+5+3+3</f>
        <v>21</v>
      </c>
      <c r="S6" s="147">
        <f>(20*R6*0.4)/5</f>
        <v>33.6</v>
      </c>
      <c r="T6" s="147">
        <f>4+4+5+4+4</f>
        <v>21</v>
      </c>
      <c r="U6" s="147">
        <f>(20*T6*0.3)/5</f>
        <v>25.2</v>
      </c>
      <c r="V6" s="147">
        <f>4+3+5+3+5</f>
        <v>20</v>
      </c>
      <c r="W6" s="147">
        <f>(20*V6*0.1)/5</f>
        <v>8</v>
      </c>
      <c r="X6" s="147">
        <f>5+3+5+3+2</f>
        <v>18</v>
      </c>
      <c r="Y6" s="147">
        <f>(20*X6*0.2)/5</f>
        <v>14.4</v>
      </c>
      <c r="Z6" s="148" t="s">
        <v>106</v>
      </c>
      <c r="AA6" s="149" t="s">
        <v>107</v>
      </c>
      <c r="AB6" s="150">
        <f>S6+U6+W6+Y6</f>
        <v>81.2</v>
      </c>
      <c r="AC6" s="14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77" s="2" customFormat="1" ht="39.950000000000003" customHeight="1" x14ac:dyDescent="0.2">
      <c r="B7" s="155"/>
      <c r="C7" s="137" t="s">
        <v>63</v>
      </c>
      <c r="D7" s="138" t="s">
        <v>53</v>
      </c>
      <c r="E7" s="152">
        <v>75067871</v>
      </c>
      <c r="F7" s="140" t="s">
        <v>54</v>
      </c>
      <c r="G7" s="141" t="s">
        <v>55</v>
      </c>
      <c r="H7" s="198" t="s">
        <v>150</v>
      </c>
      <c r="I7" s="198" t="s">
        <v>151</v>
      </c>
      <c r="J7" s="142">
        <v>0.12</v>
      </c>
      <c r="K7" s="143">
        <v>38000</v>
      </c>
      <c r="L7" s="144"/>
      <c r="M7" s="145">
        <v>38000</v>
      </c>
      <c r="N7" s="144"/>
      <c r="O7" s="146" t="s">
        <v>100</v>
      </c>
      <c r="P7" s="146" t="s">
        <v>100</v>
      </c>
      <c r="Q7" s="146" t="s">
        <v>100</v>
      </c>
      <c r="R7" s="147">
        <f>5+5+5+3+3</f>
        <v>21</v>
      </c>
      <c r="S7" s="147">
        <f>(20*R7*0.4)/5</f>
        <v>33.6</v>
      </c>
      <c r="T7" s="147">
        <f>4+4+5+3+4</f>
        <v>20</v>
      </c>
      <c r="U7" s="147">
        <f>(20*T7*0.3)/5</f>
        <v>24</v>
      </c>
      <c r="V7" s="147">
        <f>4+4+5+3+3</f>
        <v>19</v>
      </c>
      <c r="W7" s="147">
        <f>(20*V7*0.1)/5</f>
        <v>7.6</v>
      </c>
      <c r="X7" s="147">
        <f>4+3+5+4+2</f>
        <v>18</v>
      </c>
      <c r="Y7" s="147">
        <f>(20*X7*0.2)/5</f>
        <v>14.4</v>
      </c>
      <c r="Z7" s="148" t="s">
        <v>106</v>
      </c>
      <c r="AA7" s="149" t="s">
        <v>107</v>
      </c>
      <c r="AB7" s="150">
        <f>S7+U7+W7+Y7</f>
        <v>79.600000000000009</v>
      </c>
      <c r="AC7" s="147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77" s="2" customFormat="1" ht="39.950000000000003" customHeight="1" x14ac:dyDescent="0.2">
      <c r="B8" s="156"/>
      <c r="C8" s="137" t="s">
        <v>65</v>
      </c>
      <c r="D8" s="153" t="s">
        <v>108</v>
      </c>
      <c r="E8" s="139">
        <v>66738725</v>
      </c>
      <c r="F8" s="140" t="s">
        <v>67</v>
      </c>
      <c r="G8" s="141" t="s">
        <v>68</v>
      </c>
      <c r="H8" s="198" t="s">
        <v>152</v>
      </c>
      <c r="I8" s="198" t="s">
        <v>153</v>
      </c>
      <c r="J8" s="142">
        <v>0.2</v>
      </c>
      <c r="K8" s="143">
        <v>40000</v>
      </c>
      <c r="L8" s="144"/>
      <c r="M8" s="145">
        <v>40000</v>
      </c>
      <c r="N8" s="144"/>
      <c r="O8" s="146" t="s">
        <v>100</v>
      </c>
      <c r="P8" s="146" t="s">
        <v>100</v>
      </c>
      <c r="Q8" s="146" t="s">
        <v>100</v>
      </c>
      <c r="R8" s="147">
        <f>3+5+5+4+3</f>
        <v>20</v>
      </c>
      <c r="S8" s="147">
        <f>(20*R8*0.4)/5</f>
        <v>32</v>
      </c>
      <c r="T8" s="147">
        <f>3+4+5+4+4</f>
        <v>20</v>
      </c>
      <c r="U8" s="147">
        <f>(20*T8*0.3)/5</f>
        <v>24</v>
      </c>
      <c r="V8" s="147">
        <f>4+1+5+4+2</f>
        <v>16</v>
      </c>
      <c r="W8" s="147">
        <f>(20*V8*0.1)/5</f>
        <v>6.4</v>
      </c>
      <c r="X8" s="147">
        <f>4+1+5+4+2</f>
        <v>16</v>
      </c>
      <c r="Y8" s="147">
        <f>(20*X8*0.2)/5</f>
        <v>12.8</v>
      </c>
      <c r="Z8" s="148" t="s">
        <v>106</v>
      </c>
      <c r="AA8" s="149" t="s">
        <v>107</v>
      </c>
      <c r="AB8" s="150">
        <f>S8+U8+W8+Y8</f>
        <v>75.2</v>
      </c>
      <c r="AC8" s="147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77" s="2" customFormat="1" x14ac:dyDescent="0.2">
      <c r="C9" s="42" t="s">
        <v>102</v>
      </c>
      <c r="D9" s="4"/>
      <c r="E9" s="4"/>
      <c r="F9" s="4"/>
      <c r="G9" s="18"/>
      <c r="H9" s="10"/>
      <c r="I9" s="10"/>
      <c r="J9" s="4"/>
      <c r="K9" s="41">
        <f>SUM(K5:K8)</f>
        <v>143000</v>
      </c>
      <c r="L9" s="13"/>
      <c r="M9" s="68">
        <f>SUM(M5:M8)</f>
        <v>143000</v>
      </c>
      <c r="N9" s="17"/>
      <c r="O9" s="17"/>
      <c r="P9" s="17"/>
      <c r="Q9" s="17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77" s="2" customFormat="1" x14ac:dyDescent="0.2">
      <c r="C10" s="3"/>
      <c r="D10" s="4"/>
      <c r="E10" s="4"/>
      <c r="F10" s="4"/>
      <c r="G10" s="18"/>
      <c r="H10" s="10"/>
      <c r="I10" s="10"/>
      <c r="J10" s="4"/>
      <c r="K10" s="9"/>
      <c r="L10" s="13"/>
      <c r="M10" s="16"/>
      <c r="N10" s="17"/>
      <c r="O10" s="17"/>
      <c r="P10" s="17"/>
      <c r="Q10" s="17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77" s="2" customFormat="1" x14ac:dyDescent="0.2">
      <c r="C11" s="3"/>
      <c r="D11" s="4"/>
      <c r="E11" s="4"/>
      <c r="F11" s="4"/>
      <c r="G11" s="18"/>
      <c r="H11" s="10"/>
      <c r="I11" s="10"/>
      <c r="J11" s="4"/>
      <c r="K11" s="9"/>
      <c r="L11" s="13"/>
      <c r="M11" s="16"/>
      <c r="N11" s="17"/>
      <c r="O11" s="17"/>
      <c r="P11" s="17"/>
      <c r="Q11" s="17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77" s="2" customFormat="1" x14ac:dyDescent="0.2">
      <c r="C12" s="3"/>
      <c r="D12" s="4"/>
      <c r="E12" s="4"/>
      <c r="F12" s="4"/>
      <c r="G12" s="18"/>
      <c r="H12" s="10"/>
      <c r="I12" s="10"/>
      <c r="J12" s="4"/>
      <c r="K12" s="9"/>
      <c r="L12" s="13"/>
      <c r="M12" s="16"/>
      <c r="N12" s="17"/>
      <c r="O12" s="17"/>
      <c r="P12" s="17"/>
      <c r="Q12" s="17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2:77" s="2" customFormat="1" x14ac:dyDescent="0.2">
      <c r="C13" s="3"/>
      <c r="D13" s="4"/>
      <c r="E13" s="4"/>
      <c r="F13" s="4"/>
      <c r="G13" s="18"/>
      <c r="H13" s="10"/>
      <c r="I13" s="10"/>
      <c r="J13" s="4"/>
      <c r="K13" s="9"/>
      <c r="L13" s="13"/>
      <c r="M13" s="16"/>
      <c r="N13" s="17"/>
      <c r="O13" s="17"/>
      <c r="P13" s="17"/>
      <c r="Q13" s="17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2:77" s="2" customFormat="1" x14ac:dyDescent="0.2">
      <c r="C14" s="3"/>
      <c r="D14" s="4"/>
      <c r="E14" s="4"/>
      <c r="F14" s="4"/>
      <c r="G14" s="18"/>
      <c r="H14" s="10"/>
      <c r="I14" s="10"/>
      <c r="J14" s="4"/>
      <c r="K14" s="9"/>
      <c r="L14" s="13"/>
      <c r="M14" s="16"/>
      <c r="N14" s="17"/>
      <c r="O14" s="17"/>
      <c r="P14" s="17"/>
      <c r="Q14" s="1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2:77" s="2" customFormat="1" x14ac:dyDescent="0.2">
      <c r="C15" s="3"/>
      <c r="D15" s="4"/>
      <c r="E15" s="4"/>
      <c r="F15" s="4"/>
      <c r="G15" s="18"/>
      <c r="H15" s="10"/>
      <c r="I15" s="10"/>
      <c r="J15" s="4"/>
      <c r="K15" s="9"/>
      <c r="L15" s="13"/>
      <c r="M15" s="16"/>
      <c r="N15" s="17"/>
      <c r="O15" s="17"/>
      <c r="P15" s="17"/>
      <c r="Q15" s="1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2:77" s="2" customFormat="1" x14ac:dyDescent="0.2">
      <c r="C16" s="3"/>
      <c r="D16" s="4"/>
      <c r="E16" s="4"/>
      <c r="F16" s="4"/>
      <c r="G16" s="18"/>
      <c r="H16" s="10"/>
      <c r="I16" s="10"/>
      <c r="J16" s="4"/>
      <c r="K16" s="9"/>
      <c r="L16" s="13"/>
      <c r="M16" s="16"/>
      <c r="N16" s="17"/>
      <c r="O16" s="17"/>
      <c r="P16" s="17"/>
      <c r="Q16" s="1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3:45" s="2" customFormat="1" x14ac:dyDescent="0.2">
      <c r="C17" s="3"/>
      <c r="D17" s="4"/>
      <c r="E17" s="4"/>
      <c r="F17" s="4"/>
      <c r="G17" s="18"/>
      <c r="H17" s="10"/>
      <c r="I17" s="10"/>
      <c r="J17" s="4"/>
      <c r="K17" s="9"/>
      <c r="L17" s="13"/>
      <c r="M17" s="16"/>
      <c r="N17" s="17"/>
      <c r="O17" s="17"/>
      <c r="P17" s="17"/>
      <c r="Q17" s="1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3:45" s="2" customFormat="1" x14ac:dyDescent="0.2">
      <c r="C18" s="3"/>
      <c r="D18" s="4"/>
      <c r="E18" s="4"/>
      <c r="F18" s="4"/>
      <c r="G18" s="18"/>
      <c r="H18" s="10"/>
      <c r="I18" s="10"/>
      <c r="J18" s="4"/>
      <c r="K18" s="9"/>
      <c r="L18" s="13"/>
      <c r="M18" s="16"/>
      <c r="N18" s="17"/>
      <c r="O18" s="17"/>
      <c r="P18" s="17"/>
      <c r="Q18" s="1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3:45" s="2" customFormat="1" x14ac:dyDescent="0.2">
      <c r="C19" s="3"/>
      <c r="D19" s="4"/>
      <c r="E19" s="4"/>
      <c r="F19" s="4"/>
      <c r="G19" s="18"/>
      <c r="H19" s="10"/>
      <c r="I19" s="10"/>
      <c r="J19" s="4"/>
      <c r="K19" s="9"/>
      <c r="L19" s="13"/>
      <c r="M19" s="16"/>
      <c r="N19" s="17"/>
      <c r="O19" s="17"/>
      <c r="P19" s="17"/>
      <c r="Q19" s="1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3:45" s="2" customFormat="1" x14ac:dyDescent="0.2">
      <c r="C20" s="3"/>
      <c r="D20" s="4"/>
      <c r="E20" s="4"/>
      <c r="F20" s="4"/>
      <c r="G20" s="18"/>
      <c r="H20" s="10"/>
      <c r="I20" s="10"/>
      <c r="J20" s="4"/>
      <c r="K20" s="9"/>
      <c r="L20" s="13"/>
      <c r="M20" s="16"/>
      <c r="N20" s="17"/>
      <c r="O20" s="17"/>
      <c r="P20" s="17"/>
      <c r="Q20" s="1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3:45" s="2" customFormat="1" x14ac:dyDescent="0.2">
      <c r="C21" s="3"/>
      <c r="D21" s="4"/>
      <c r="E21" s="4"/>
      <c r="F21" s="4"/>
      <c r="G21" s="18"/>
      <c r="H21" s="10"/>
      <c r="I21" s="10"/>
      <c r="J21" s="4"/>
      <c r="K21" s="9"/>
      <c r="L21" s="13"/>
      <c r="M21" s="16"/>
      <c r="N21" s="17"/>
      <c r="O21" s="17"/>
      <c r="P21" s="17"/>
      <c r="Q21" s="1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3:45" s="2" customFormat="1" x14ac:dyDescent="0.2">
      <c r="C22" s="3"/>
      <c r="D22" s="4"/>
      <c r="E22" s="4"/>
      <c r="F22" s="4"/>
      <c r="G22" s="18"/>
      <c r="H22" s="10"/>
      <c r="I22" s="10"/>
      <c r="J22" s="4"/>
      <c r="K22" s="9"/>
      <c r="L22" s="13"/>
      <c r="M22" s="16"/>
      <c r="N22" s="17"/>
      <c r="O22" s="17"/>
      <c r="P22" s="17"/>
      <c r="Q22" s="1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3:45" s="2" customFormat="1" x14ac:dyDescent="0.2">
      <c r="C23" s="3"/>
      <c r="D23" s="4"/>
      <c r="E23" s="4"/>
      <c r="F23" s="4"/>
      <c r="G23" s="18"/>
      <c r="H23" s="10"/>
      <c r="I23" s="10"/>
      <c r="J23" s="4"/>
      <c r="K23" s="9"/>
      <c r="L23" s="13"/>
      <c r="M23" s="16"/>
      <c r="N23" s="17"/>
      <c r="O23" s="17"/>
      <c r="P23" s="17"/>
      <c r="Q23" s="17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3:45" s="2" customFormat="1" x14ac:dyDescent="0.2">
      <c r="C24" s="3"/>
      <c r="D24" s="4"/>
      <c r="E24" s="4"/>
      <c r="F24" s="4"/>
      <c r="G24" s="18"/>
      <c r="H24" s="10"/>
      <c r="I24" s="10"/>
      <c r="J24" s="4"/>
      <c r="K24" s="9"/>
      <c r="L24" s="13"/>
      <c r="M24" s="16"/>
      <c r="N24" s="17"/>
      <c r="O24" s="17"/>
      <c r="P24" s="17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3:45" s="2" customFormat="1" x14ac:dyDescent="0.2">
      <c r="C25" s="3"/>
      <c r="D25" s="4"/>
      <c r="E25" s="4"/>
      <c r="F25" s="4"/>
      <c r="G25" s="18"/>
      <c r="H25" s="10"/>
      <c r="I25" s="10"/>
      <c r="J25" s="4"/>
      <c r="K25" s="9"/>
      <c r="L25" s="13"/>
      <c r="M25" s="16"/>
      <c r="N25" s="17"/>
      <c r="O25" s="17"/>
      <c r="P25" s="17"/>
      <c r="Q25" s="17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3:45" s="2" customFormat="1" x14ac:dyDescent="0.2">
      <c r="C26" s="3"/>
      <c r="D26" s="4"/>
      <c r="E26" s="4"/>
      <c r="F26" s="4"/>
      <c r="G26" s="18"/>
      <c r="H26" s="10"/>
      <c r="I26" s="10"/>
      <c r="J26" s="4"/>
      <c r="K26" s="9"/>
      <c r="L26" s="13"/>
      <c r="M26" s="16"/>
      <c r="N26" s="17"/>
      <c r="O26" s="17"/>
      <c r="P26" s="17"/>
      <c r="Q26" s="17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3:45" s="2" customFormat="1" x14ac:dyDescent="0.2">
      <c r="C27" s="3"/>
      <c r="D27" s="4"/>
      <c r="E27" s="4"/>
      <c r="F27" s="4"/>
      <c r="G27" s="18"/>
      <c r="H27" s="10"/>
      <c r="I27" s="10"/>
      <c r="J27" s="4"/>
      <c r="K27" s="9"/>
      <c r="L27" s="13"/>
      <c r="M27" s="16"/>
      <c r="N27" s="17"/>
      <c r="O27" s="17"/>
      <c r="P27" s="17"/>
      <c r="Q27" s="17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3:45" s="2" customFormat="1" x14ac:dyDescent="0.2">
      <c r="C28" s="3"/>
      <c r="D28" s="4"/>
      <c r="E28" s="4"/>
      <c r="F28" s="4"/>
      <c r="G28" s="18"/>
      <c r="H28" s="10"/>
      <c r="I28" s="10"/>
      <c r="J28" s="4"/>
      <c r="K28" s="9"/>
      <c r="L28" s="13"/>
      <c r="M28" s="16"/>
      <c r="N28" s="17"/>
      <c r="O28" s="17"/>
      <c r="P28" s="17"/>
      <c r="Q28" s="17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3:45" s="2" customFormat="1" x14ac:dyDescent="0.2">
      <c r="C29" s="3"/>
      <c r="D29" s="4"/>
      <c r="E29" s="4"/>
      <c r="F29" s="4"/>
      <c r="G29" s="18"/>
      <c r="H29" s="10"/>
      <c r="I29" s="10"/>
      <c r="J29" s="4"/>
      <c r="K29" s="9"/>
      <c r="L29" s="13"/>
      <c r="M29" s="16"/>
      <c r="N29" s="17"/>
      <c r="O29" s="17"/>
      <c r="P29" s="17"/>
      <c r="Q29" s="17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3:45" s="2" customFormat="1" x14ac:dyDescent="0.2">
      <c r="C30" s="3"/>
      <c r="D30" s="4"/>
      <c r="E30" s="4"/>
      <c r="F30" s="4"/>
      <c r="G30" s="18"/>
      <c r="H30" s="10"/>
      <c r="I30" s="10"/>
      <c r="J30" s="4"/>
      <c r="K30" s="9"/>
      <c r="L30" s="13"/>
      <c r="M30" s="16"/>
      <c r="N30" s="17"/>
      <c r="O30" s="17"/>
      <c r="P30" s="17"/>
      <c r="Q30" s="17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3:45" s="2" customFormat="1" x14ac:dyDescent="0.2">
      <c r="C31" s="3"/>
      <c r="D31" s="4"/>
      <c r="E31" s="4"/>
      <c r="F31" s="4"/>
      <c r="G31" s="18"/>
      <c r="H31" s="10"/>
      <c r="I31" s="10"/>
      <c r="J31" s="4"/>
      <c r="K31" s="9"/>
      <c r="L31" s="13"/>
      <c r="M31" s="16"/>
      <c r="N31" s="17"/>
      <c r="O31" s="17"/>
      <c r="P31" s="17"/>
      <c r="Q31" s="17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3:45" s="2" customFormat="1" x14ac:dyDescent="0.2">
      <c r="C32" s="3"/>
      <c r="D32" s="4"/>
      <c r="E32" s="4"/>
      <c r="F32" s="4"/>
      <c r="G32" s="18"/>
      <c r="H32" s="10"/>
      <c r="I32" s="10"/>
      <c r="J32" s="4"/>
      <c r="K32" s="9"/>
      <c r="L32" s="13"/>
      <c r="M32" s="16"/>
      <c r="N32" s="17"/>
      <c r="O32" s="17"/>
      <c r="P32" s="17"/>
      <c r="Q32" s="1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3:45" s="2" customFormat="1" x14ac:dyDescent="0.2">
      <c r="C33" s="3"/>
      <c r="D33" s="4"/>
      <c r="E33" s="4"/>
      <c r="F33" s="4"/>
      <c r="G33" s="18"/>
      <c r="H33" s="10"/>
      <c r="I33" s="10"/>
      <c r="J33" s="4"/>
      <c r="K33" s="9"/>
      <c r="L33" s="13"/>
      <c r="M33" s="16"/>
      <c r="N33" s="17"/>
      <c r="O33" s="17"/>
      <c r="P33" s="17"/>
      <c r="Q33" s="17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3:45" s="2" customFormat="1" x14ac:dyDescent="0.2">
      <c r="C34" s="3"/>
      <c r="D34" s="4"/>
      <c r="E34" s="4"/>
      <c r="F34" s="4"/>
      <c r="G34" s="18"/>
      <c r="H34" s="10"/>
      <c r="I34" s="10"/>
      <c r="J34" s="4"/>
      <c r="K34" s="9"/>
      <c r="L34" s="13"/>
      <c r="M34" s="16"/>
      <c r="N34" s="17"/>
      <c r="O34" s="17"/>
      <c r="P34" s="17"/>
      <c r="Q34" s="17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3:45" s="2" customFormat="1" x14ac:dyDescent="0.2">
      <c r="C35" s="3"/>
      <c r="D35" s="4"/>
      <c r="E35" s="4"/>
      <c r="F35" s="4"/>
      <c r="G35" s="18"/>
      <c r="H35" s="10"/>
      <c r="I35" s="10"/>
      <c r="J35" s="4"/>
      <c r="K35" s="9"/>
      <c r="L35" s="13"/>
      <c r="M35" s="16"/>
      <c r="N35" s="17"/>
      <c r="O35" s="17"/>
      <c r="P35" s="17"/>
      <c r="Q35" s="17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3:45" s="2" customFormat="1" x14ac:dyDescent="0.2">
      <c r="C36" s="3"/>
      <c r="D36" s="4"/>
      <c r="E36" s="4"/>
      <c r="F36" s="4"/>
      <c r="G36" s="18"/>
      <c r="H36" s="10"/>
      <c r="I36" s="10"/>
      <c r="J36" s="4"/>
      <c r="K36" s="9"/>
      <c r="L36" s="13"/>
      <c r="M36" s="16"/>
      <c r="N36" s="17"/>
      <c r="O36" s="17"/>
      <c r="P36" s="17"/>
      <c r="Q36" s="1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3:45" s="2" customFormat="1" x14ac:dyDescent="0.2">
      <c r="C37" s="3"/>
      <c r="D37" s="4"/>
      <c r="E37" s="4"/>
      <c r="F37" s="4"/>
      <c r="G37" s="18"/>
      <c r="H37" s="10"/>
      <c r="I37" s="10"/>
      <c r="J37" s="4"/>
      <c r="K37" s="9"/>
      <c r="L37" s="13"/>
      <c r="M37" s="16"/>
      <c r="N37" s="17"/>
      <c r="O37" s="17"/>
      <c r="P37" s="17"/>
      <c r="Q37" s="1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3:45" s="2" customFormat="1" x14ac:dyDescent="0.2">
      <c r="C38" s="3"/>
      <c r="D38" s="4"/>
      <c r="E38" s="4"/>
      <c r="F38" s="4"/>
      <c r="G38" s="18"/>
      <c r="H38" s="10"/>
      <c r="I38" s="10"/>
      <c r="J38" s="4"/>
      <c r="K38" s="9"/>
      <c r="L38" s="13"/>
      <c r="M38" s="16"/>
      <c r="N38" s="17"/>
      <c r="O38" s="17"/>
      <c r="P38" s="17"/>
      <c r="Q38" s="1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3:45" s="2" customFormat="1" x14ac:dyDescent="0.2">
      <c r="C39" s="3"/>
      <c r="D39" s="4"/>
      <c r="E39" s="4"/>
      <c r="F39" s="4"/>
      <c r="G39" s="18"/>
      <c r="H39" s="10"/>
      <c r="I39" s="10"/>
      <c r="J39" s="4"/>
      <c r="K39" s="9"/>
      <c r="L39" s="13"/>
      <c r="M39" s="16"/>
      <c r="N39" s="17"/>
      <c r="O39" s="17"/>
      <c r="P39" s="17"/>
      <c r="Q39" s="1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3:45" s="2" customFormat="1" x14ac:dyDescent="0.2">
      <c r="C40" s="3"/>
      <c r="D40" s="4"/>
      <c r="E40" s="4"/>
      <c r="F40" s="4"/>
      <c r="G40" s="18"/>
      <c r="H40" s="10"/>
      <c r="I40" s="10"/>
      <c r="J40" s="4"/>
      <c r="K40" s="9"/>
      <c r="L40" s="13"/>
      <c r="M40" s="16"/>
      <c r="N40" s="17"/>
      <c r="O40" s="17"/>
      <c r="P40" s="17"/>
      <c r="Q40" s="1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3:45" s="2" customFormat="1" x14ac:dyDescent="0.2">
      <c r="C41" s="3"/>
      <c r="D41" s="4"/>
      <c r="E41" s="4"/>
      <c r="F41" s="4"/>
      <c r="G41" s="18"/>
      <c r="H41" s="10"/>
      <c r="I41" s="10"/>
      <c r="J41" s="4"/>
      <c r="K41" s="9"/>
      <c r="L41" s="13"/>
      <c r="M41" s="16"/>
      <c r="N41" s="17"/>
      <c r="O41" s="17"/>
      <c r="P41" s="17"/>
      <c r="Q41" s="1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3:45" s="2" customFormat="1" x14ac:dyDescent="0.2">
      <c r="C42" s="3"/>
      <c r="D42" s="4"/>
      <c r="E42" s="4"/>
      <c r="F42" s="4"/>
      <c r="G42" s="18"/>
      <c r="H42" s="10"/>
      <c r="I42" s="10"/>
      <c r="J42" s="4"/>
      <c r="K42" s="9"/>
      <c r="L42" s="13"/>
      <c r="M42" s="16"/>
      <c r="N42" s="17"/>
      <c r="O42" s="17"/>
      <c r="P42" s="17"/>
      <c r="Q42" s="1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3:45" s="2" customFormat="1" x14ac:dyDescent="0.2">
      <c r="C43" s="3"/>
      <c r="D43" s="4"/>
      <c r="E43" s="4"/>
      <c r="F43" s="4"/>
      <c r="G43" s="18"/>
      <c r="H43" s="10"/>
      <c r="I43" s="10"/>
      <c r="J43" s="4"/>
      <c r="K43" s="9"/>
      <c r="L43" s="13"/>
      <c r="M43" s="16"/>
      <c r="N43" s="17"/>
      <c r="O43" s="17"/>
      <c r="P43" s="17"/>
      <c r="Q43" s="1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3:45" s="2" customFormat="1" x14ac:dyDescent="0.2">
      <c r="C44" s="3"/>
      <c r="D44" s="4"/>
      <c r="E44" s="4"/>
      <c r="F44" s="4"/>
      <c r="G44" s="18"/>
      <c r="H44" s="10"/>
      <c r="I44" s="10"/>
      <c r="J44" s="4"/>
      <c r="K44" s="9"/>
      <c r="L44" s="13"/>
      <c r="M44" s="16"/>
      <c r="N44" s="17"/>
      <c r="O44" s="17"/>
      <c r="P44" s="17"/>
      <c r="Q44" s="1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3:45" s="2" customFormat="1" x14ac:dyDescent="0.2">
      <c r="C45" s="3"/>
      <c r="D45" s="4"/>
      <c r="E45" s="4"/>
      <c r="F45" s="4"/>
      <c r="G45" s="18"/>
      <c r="H45" s="10"/>
      <c r="I45" s="10"/>
      <c r="J45" s="4"/>
      <c r="K45" s="9"/>
      <c r="L45" s="13"/>
      <c r="M45" s="16"/>
      <c r="N45" s="17"/>
      <c r="O45" s="17"/>
      <c r="P45" s="17"/>
      <c r="Q45" s="1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3:45" s="2" customFormat="1" x14ac:dyDescent="0.2">
      <c r="C46" s="3"/>
      <c r="D46" s="4"/>
      <c r="E46" s="4"/>
      <c r="F46" s="4"/>
      <c r="G46" s="18"/>
      <c r="H46" s="10"/>
      <c r="I46" s="10"/>
      <c r="J46" s="4"/>
      <c r="K46" s="9"/>
      <c r="L46" s="13"/>
      <c r="M46" s="16"/>
      <c r="N46" s="17"/>
      <c r="O46" s="17"/>
      <c r="P46" s="17"/>
      <c r="Q46" s="1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3:45" s="2" customFormat="1" x14ac:dyDescent="0.2">
      <c r="C47" s="3"/>
      <c r="D47" s="4"/>
      <c r="E47" s="4"/>
      <c r="F47" s="4"/>
      <c r="G47" s="18"/>
      <c r="H47" s="10"/>
      <c r="I47" s="10"/>
      <c r="J47" s="4"/>
      <c r="K47" s="9"/>
      <c r="L47" s="13"/>
      <c r="M47" s="16"/>
      <c r="N47" s="17"/>
      <c r="O47" s="17"/>
      <c r="P47" s="17"/>
      <c r="Q47" s="1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3:45" s="2" customFormat="1" x14ac:dyDescent="0.2">
      <c r="C48" s="3"/>
      <c r="D48" s="4"/>
      <c r="E48" s="4"/>
      <c r="F48" s="4"/>
      <c r="G48" s="18"/>
      <c r="H48" s="10"/>
      <c r="I48" s="10"/>
      <c r="J48" s="4"/>
      <c r="K48" s="9"/>
      <c r="L48" s="13"/>
      <c r="M48" s="16"/>
      <c r="N48" s="17"/>
      <c r="O48" s="17"/>
      <c r="P48" s="17"/>
      <c r="Q48" s="1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3:45" s="2" customFormat="1" x14ac:dyDescent="0.2">
      <c r="C49" s="3"/>
      <c r="D49" s="4"/>
      <c r="E49" s="4"/>
      <c r="F49" s="4"/>
      <c r="G49" s="18"/>
      <c r="H49" s="10"/>
      <c r="I49" s="10"/>
      <c r="J49" s="4"/>
      <c r="K49" s="9"/>
      <c r="L49" s="13"/>
      <c r="M49" s="16"/>
      <c r="N49" s="17"/>
      <c r="O49" s="17"/>
      <c r="P49" s="17"/>
      <c r="Q49" s="1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3:45" s="2" customFormat="1" x14ac:dyDescent="0.2">
      <c r="C50" s="3"/>
      <c r="D50" s="4"/>
      <c r="E50" s="4"/>
      <c r="F50" s="4"/>
      <c r="G50" s="18"/>
      <c r="H50" s="10"/>
      <c r="I50" s="10"/>
      <c r="J50" s="4"/>
      <c r="K50" s="9"/>
      <c r="L50" s="13"/>
      <c r="M50" s="16"/>
      <c r="N50" s="17"/>
      <c r="O50" s="17"/>
      <c r="P50" s="17"/>
      <c r="Q50" s="1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3:45" s="2" customFormat="1" x14ac:dyDescent="0.2">
      <c r="C51" s="3"/>
      <c r="D51" s="4"/>
      <c r="E51" s="4"/>
      <c r="F51" s="4"/>
      <c r="G51" s="18"/>
      <c r="H51" s="10"/>
      <c r="I51" s="10"/>
      <c r="J51" s="4"/>
      <c r="K51" s="9"/>
      <c r="L51" s="13"/>
      <c r="M51" s="16"/>
      <c r="N51" s="17"/>
      <c r="O51" s="17"/>
      <c r="P51" s="17"/>
      <c r="Q51" s="1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3:45" s="2" customFormat="1" x14ac:dyDescent="0.2">
      <c r="C52" s="3"/>
      <c r="D52" s="4"/>
      <c r="E52" s="4"/>
      <c r="F52" s="4"/>
      <c r="G52" s="18"/>
      <c r="H52" s="10"/>
      <c r="I52" s="10"/>
      <c r="J52" s="4"/>
      <c r="K52" s="9"/>
      <c r="L52" s="13"/>
      <c r="M52" s="16"/>
      <c r="N52" s="17"/>
      <c r="O52" s="17"/>
      <c r="P52" s="17"/>
      <c r="Q52" s="1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3:45" s="2" customFormat="1" x14ac:dyDescent="0.2">
      <c r="C53" s="3"/>
      <c r="D53" s="4"/>
      <c r="E53" s="4"/>
      <c r="F53" s="4"/>
      <c r="G53" s="18"/>
      <c r="H53" s="10"/>
      <c r="I53" s="10"/>
      <c r="J53" s="4"/>
      <c r="K53" s="9"/>
      <c r="L53" s="13"/>
      <c r="M53" s="16"/>
      <c r="N53" s="17"/>
      <c r="O53" s="17"/>
      <c r="P53" s="17"/>
      <c r="Q53" s="1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3:45" s="2" customFormat="1" x14ac:dyDescent="0.2">
      <c r="C54" s="3"/>
      <c r="D54" s="4"/>
      <c r="E54" s="4"/>
      <c r="F54" s="4"/>
      <c r="G54" s="18"/>
      <c r="H54" s="10"/>
      <c r="I54" s="10"/>
      <c r="J54" s="4"/>
      <c r="K54" s="9"/>
      <c r="L54" s="13"/>
      <c r="M54" s="16"/>
      <c r="N54" s="17"/>
      <c r="O54" s="17"/>
      <c r="P54" s="17"/>
      <c r="Q54" s="1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3:45" s="2" customFormat="1" x14ac:dyDescent="0.2">
      <c r="C55" s="3"/>
      <c r="D55" s="4"/>
      <c r="E55" s="4"/>
      <c r="F55" s="4"/>
      <c r="G55" s="18"/>
      <c r="H55" s="10"/>
      <c r="I55" s="10"/>
      <c r="J55" s="4"/>
      <c r="K55" s="9"/>
      <c r="L55" s="13"/>
      <c r="M55" s="16"/>
      <c r="N55" s="17"/>
      <c r="O55" s="17"/>
      <c r="P55" s="17"/>
      <c r="Q55" s="1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3:45" s="2" customFormat="1" x14ac:dyDescent="0.2">
      <c r="C56" s="3"/>
      <c r="D56" s="4"/>
      <c r="E56" s="4"/>
      <c r="F56" s="4"/>
      <c r="G56" s="18"/>
      <c r="H56" s="10"/>
      <c r="I56" s="10"/>
      <c r="J56" s="4"/>
      <c r="K56" s="9"/>
      <c r="L56" s="13"/>
      <c r="M56" s="16"/>
      <c r="N56" s="17"/>
      <c r="O56" s="17"/>
      <c r="P56" s="17"/>
      <c r="Q56" s="17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3:45" s="2" customFormat="1" x14ac:dyDescent="0.2">
      <c r="C57" s="3"/>
      <c r="D57" s="4"/>
      <c r="E57" s="4"/>
      <c r="F57" s="4"/>
      <c r="G57" s="18"/>
      <c r="H57" s="10"/>
      <c r="I57" s="10"/>
      <c r="J57" s="4"/>
      <c r="K57" s="9"/>
      <c r="L57" s="13"/>
      <c r="M57" s="16"/>
      <c r="N57" s="17"/>
      <c r="O57" s="17"/>
      <c r="P57" s="17"/>
      <c r="Q57" s="17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3:45" s="2" customFormat="1" x14ac:dyDescent="0.2">
      <c r="C58" s="3"/>
      <c r="D58" s="4"/>
      <c r="E58" s="4"/>
      <c r="F58" s="4"/>
      <c r="G58" s="18"/>
      <c r="H58" s="10"/>
      <c r="I58" s="10"/>
      <c r="J58" s="4"/>
      <c r="K58" s="9"/>
      <c r="L58" s="13"/>
      <c r="M58" s="16"/>
      <c r="N58" s="17"/>
      <c r="O58" s="17"/>
      <c r="P58" s="17"/>
      <c r="Q58" s="17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3:45" s="2" customFormat="1" x14ac:dyDescent="0.2">
      <c r="C59" s="3"/>
      <c r="D59" s="4"/>
      <c r="E59" s="4"/>
      <c r="F59" s="4"/>
      <c r="G59" s="18"/>
      <c r="H59" s="10"/>
      <c r="I59" s="10"/>
      <c r="J59" s="4"/>
      <c r="K59" s="9"/>
      <c r="L59" s="13"/>
      <c r="M59" s="16"/>
      <c r="N59" s="17"/>
      <c r="O59" s="17"/>
      <c r="P59" s="17"/>
      <c r="Q59" s="17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3:45" s="2" customFormat="1" x14ac:dyDescent="0.2">
      <c r="C60" s="3"/>
      <c r="D60" s="4"/>
      <c r="E60" s="4"/>
      <c r="F60" s="4"/>
      <c r="G60" s="18"/>
      <c r="H60" s="10"/>
      <c r="I60" s="10"/>
      <c r="J60" s="4"/>
      <c r="K60" s="9"/>
      <c r="L60" s="13"/>
      <c r="M60" s="16"/>
      <c r="N60" s="17"/>
      <c r="O60" s="17"/>
      <c r="P60" s="17"/>
      <c r="Q60" s="17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3:45" s="2" customFormat="1" x14ac:dyDescent="0.2">
      <c r="C61" s="3"/>
      <c r="D61" s="4"/>
      <c r="E61" s="4"/>
      <c r="F61" s="4"/>
      <c r="G61" s="18"/>
      <c r="H61" s="10"/>
      <c r="I61" s="10"/>
      <c r="J61" s="4"/>
      <c r="K61" s="9"/>
      <c r="L61" s="13"/>
      <c r="M61" s="16"/>
      <c r="N61" s="17"/>
      <c r="O61" s="17"/>
      <c r="P61" s="17"/>
      <c r="Q61" s="17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3:45" s="2" customFormat="1" x14ac:dyDescent="0.2">
      <c r="C62" s="3"/>
      <c r="D62" s="4"/>
      <c r="E62" s="4"/>
      <c r="F62" s="4"/>
      <c r="G62" s="18"/>
      <c r="H62" s="10"/>
      <c r="I62" s="10"/>
      <c r="J62" s="4"/>
      <c r="K62" s="9"/>
      <c r="L62" s="13"/>
      <c r="M62" s="16"/>
      <c r="N62" s="17"/>
      <c r="O62" s="17"/>
      <c r="P62" s="17"/>
      <c r="Q62" s="17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3:45" s="2" customFormat="1" x14ac:dyDescent="0.2">
      <c r="C63" s="3"/>
      <c r="D63" s="4"/>
      <c r="E63" s="4"/>
      <c r="F63" s="4"/>
      <c r="G63" s="18"/>
      <c r="H63" s="10"/>
      <c r="I63" s="10"/>
      <c r="J63" s="4"/>
      <c r="K63" s="9"/>
      <c r="L63" s="13"/>
      <c r="M63" s="16"/>
      <c r="N63" s="17"/>
      <c r="O63" s="17"/>
      <c r="P63" s="17"/>
      <c r="Q63" s="17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3:45" s="2" customFormat="1" x14ac:dyDescent="0.2">
      <c r="C64" s="3"/>
      <c r="D64" s="4"/>
      <c r="E64" s="4"/>
      <c r="F64" s="4"/>
      <c r="G64" s="18"/>
      <c r="H64" s="10"/>
      <c r="I64" s="10"/>
      <c r="J64" s="4"/>
      <c r="K64" s="9"/>
      <c r="L64" s="13"/>
      <c r="M64" s="16"/>
      <c r="N64" s="17"/>
      <c r="O64" s="17"/>
      <c r="P64" s="17"/>
      <c r="Q64" s="17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3:45" s="2" customFormat="1" x14ac:dyDescent="0.2">
      <c r="C65" s="3"/>
      <c r="D65" s="4"/>
      <c r="E65" s="4"/>
      <c r="F65" s="4"/>
      <c r="G65" s="18"/>
      <c r="H65" s="10"/>
      <c r="I65" s="10"/>
      <c r="J65" s="4"/>
      <c r="K65" s="9"/>
      <c r="L65" s="13"/>
      <c r="M65" s="16"/>
      <c r="N65" s="17"/>
      <c r="O65" s="17"/>
      <c r="P65" s="17"/>
      <c r="Q65" s="17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3:45" s="2" customFormat="1" x14ac:dyDescent="0.2">
      <c r="C66" s="3"/>
      <c r="D66" s="4"/>
      <c r="E66" s="4"/>
      <c r="F66" s="4"/>
      <c r="G66" s="18"/>
      <c r="H66" s="10"/>
      <c r="I66" s="10"/>
      <c r="J66" s="4"/>
      <c r="K66" s="9"/>
      <c r="L66" s="13"/>
      <c r="M66" s="16"/>
      <c r="N66" s="17"/>
      <c r="O66" s="17"/>
      <c r="P66" s="17"/>
      <c r="Q66" s="17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3:45" s="2" customFormat="1" x14ac:dyDescent="0.2">
      <c r="C67" s="3"/>
      <c r="D67" s="4"/>
      <c r="E67" s="4"/>
      <c r="F67" s="4"/>
      <c r="G67" s="18"/>
      <c r="H67" s="10"/>
      <c r="I67" s="10"/>
      <c r="J67" s="4"/>
      <c r="K67" s="9"/>
      <c r="L67" s="13"/>
      <c r="M67" s="16"/>
      <c r="N67" s="17"/>
      <c r="O67" s="17"/>
      <c r="P67" s="17"/>
      <c r="Q67" s="17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</sheetData>
  <sortState ref="B5:BY8">
    <sortCondition descending="1" ref="AB5:AB8"/>
  </sortState>
  <dataConsolidate/>
  <mergeCells count="16">
    <mergeCell ref="B5:B8"/>
    <mergeCell ref="AC2:AC3"/>
    <mergeCell ref="AB2:AB3"/>
    <mergeCell ref="C2:C3"/>
    <mergeCell ref="D2:D3"/>
    <mergeCell ref="G2:G3"/>
    <mergeCell ref="J2:J3"/>
    <mergeCell ref="H2:I2"/>
    <mergeCell ref="E2:E3"/>
    <mergeCell ref="O2:O3"/>
    <mergeCell ref="F2:F3"/>
    <mergeCell ref="P2:Q2"/>
    <mergeCell ref="R2:S2"/>
    <mergeCell ref="T2:U2"/>
    <mergeCell ref="V2:W2"/>
    <mergeCell ref="X2:Y2"/>
  </mergeCells>
  <phoneticPr fontId="2" type="noConversion"/>
  <pageMargins left="0.7" right="0.7" top="0.75" bottom="0.75" header="0.3" footer="0.3"/>
  <pageSetup paperSize="8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ZP1_21</vt:lpstr>
      <vt:lpstr>ZP2_21</vt:lpstr>
      <vt:lpstr>ZP3_21</vt:lpstr>
      <vt:lpstr>_NO1</vt:lpstr>
      <vt:lpstr>_NO2</vt:lpstr>
      <vt:lpstr>_NO3</vt:lpstr>
      <vt:lpstr>_NO4</vt:lpstr>
      <vt:lpstr>_NO5</vt:lpstr>
      <vt:lpstr>_ZP1</vt:lpstr>
      <vt:lpstr>_ZP2</vt:lpstr>
      <vt:lpstr>_ZP3</vt:lpstr>
      <vt:lpstr>_ZP4</vt:lpstr>
      <vt:lpstr>EVVO</vt:lpstr>
      <vt:lpstr>Evvo1</vt:lpstr>
      <vt:lpstr>EVVO12</vt:lpstr>
      <vt:lpstr>EVVO2</vt:lpstr>
      <vt:lpstr>Evvo3</vt:lpstr>
      <vt:lpstr>Evvo4</vt:lpstr>
      <vt:lpstr>Evvo6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Zahradník</dc:creator>
  <cp:lastModifiedBy>Jiskrová Lenka</cp:lastModifiedBy>
  <cp:lastPrinted>2020-10-30T10:55:32Z</cp:lastPrinted>
  <dcterms:created xsi:type="dcterms:W3CDTF">2005-01-13T20:15:08Z</dcterms:created>
  <dcterms:modified xsi:type="dcterms:W3CDTF">2020-11-12T06:47:45Z</dcterms:modified>
</cp:coreProperties>
</file>