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otace\PROGRAMY_2022\SPORT_2022\SPORT_2022_ZMO\"/>
    </mc:Choice>
  </mc:AlternateContent>
  <bookViews>
    <workbookView xWindow="0" yWindow="0" windowWidth="28800" windowHeight="12135" tabRatio="594"/>
  </bookViews>
  <sheets>
    <sheet name="SPORT S1 + S3 základní" sheetId="23" r:id="rId1"/>
    <sheet name="SPORT S2" sheetId="24" r:id="rId2"/>
    <sheet name="SPORT S3 nadstavba" sheetId="25" r:id="rId3"/>
  </sheets>
  <definedNames>
    <definedName name="_001_S3_20_1c_Zadost">'SPORT S1 + S3 základní'!#REF!</definedName>
    <definedName name="_BOD1">'SPORT S1 + S3 základní'!$AE$5</definedName>
    <definedName name="_COP1">#REF!</definedName>
    <definedName name="_COP2">#REF!</definedName>
    <definedName name="_COP3">#REF!</definedName>
    <definedName name="_COP4">#REF!</definedName>
    <definedName name="_COP5">#REF!</definedName>
    <definedName name="_COP6">#REF!</definedName>
    <definedName name="_JUJ1">#REF!</definedName>
    <definedName name="_KOR1">#REF!</definedName>
    <definedName name="_KOR2">#REF!</definedName>
    <definedName name="_KOR3">#REF!</definedName>
    <definedName name="_KOR6">#REF!</definedName>
    <definedName name="_KRI1">#REF!</definedName>
    <definedName name="_KRI3">#REF!</definedName>
    <definedName name="_KRI4">#REF!</definedName>
    <definedName name="_KUK1">#REF!</definedName>
    <definedName name="_KUS1">#REF!</definedName>
    <definedName name="_KUS2">#REF!</definedName>
    <definedName name="_KUS3">#REF!</definedName>
    <definedName name="_KUS4">#REF!</definedName>
    <definedName name="_KUS5">#REF!</definedName>
    <definedName name="_KUS6">#REF!</definedName>
    <definedName name="_KUS7">#REF!</definedName>
    <definedName name="_MUM2">#REF!</definedName>
    <definedName name="_NAC1">#REF!</definedName>
    <definedName name="_NAC2">#REF!</definedName>
    <definedName name="_NAC3">#REF!</definedName>
    <definedName name="_NAC4">#REF!</definedName>
    <definedName name="_NAC5">#REF!</definedName>
    <definedName name="_NAC6">#REF!</definedName>
    <definedName name="_NIC1">#REF!</definedName>
    <definedName name="_NIC2">#REF!</definedName>
    <definedName name="_NIC4">#REF!</definedName>
    <definedName name="_NIC5">#REF!</definedName>
    <definedName name="_NIC6">#REF!</definedName>
    <definedName name="_NIC8">#REF!</definedName>
    <definedName name="_NO1">#REF!</definedName>
    <definedName name="_NO2">#REF!</definedName>
    <definedName name="_NO3">#REF!</definedName>
    <definedName name="_NO4">#REF!</definedName>
    <definedName name="_PRO1">#REF!</definedName>
    <definedName name="_PRO2">#REF!</definedName>
    <definedName name="_PRO3">#REF!</definedName>
    <definedName name="_PRO4">#REF!</definedName>
    <definedName name="_PUS1">#REF!</definedName>
    <definedName name="_PUS2">#REF!</definedName>
    <definedName name="_PUS3">#REF!</definedName>
    <definedName name="_PUS4">#REF!</definedName>
    <definedName name="_PUS7">#REF!</definedName>
    <definedName name="_REV1">#REF!</definedName>
    <definedName name="_REV2">#REF!</definedName>
    <definedName name="_REV3">#REF!</definedName>
    <definedName name="_RUP4">#REF!</definedName>
    <definedName name="_RUP6">#REF!</definedName>
    <definedName name="_RUP8">#REF!</definedName>
    <definedName name="_ZP1">#REF!</definedName>
    <definedName name="_ZP2">#REF!</definedName>
    <definedName name="_ZP3">#REF!</definedName>
    <definedName name="_ZP4">#REF!</definedName>
    <definedName name="_ZP5">#REF!</definedName>
    <definedName name="_ZP6">#REF!</definedName>
    <definedName name="ANO">#REF!</definedName>
    <definedName name="BOD">#REF!</definedName>
    <definedName name="BODČ">'SPORT S1 + S3 základní'!$AE$5</definedName>
    <definedName name="celkemčlen">'SPORT S1 + S3 základní'!$AE$92</definedName>
    <definedName name="celkemdeti">'SPORT S1 + S3 základní'!$AH$5</definedName>
    <definedName name="celkemtrener">'SPORT S1 + S3 základní'!$AK$5</definedName>
    <definedName name="CTVRTE">#REF!</definedName>
    <definedName name="část">#REF!</definedName>
    <definedName name="část1">#REF!</definedName>
    <definedName name="ČL">#REF!</definedName>
    <definedName name="čl_strop_60_procent">#REF!</definedName>
    <definedName name="ČLEN">#REF!</definedName>
    <definedName name="čLENN">'SPORT S1 + S3 základní'!$AD$5</definedName>
    <definedName name="členovéstrop">'SPORT S1 + S3 základní'!$AQ$91</definedName>
    <definedName name="deti">'SPORT S1 + S3 základní'!$AG$5</definedName>
    <definedName name="detiS3">'SPORT S1 + S3 základní'!$AH$92</definedName>
    <definedName name="DRUHE">#REF!</definedName>
    <definedName name="EVVO">#REF!</definedName>
    <definedName name="Evvo1">#REF!</definedName>
    <definedName name="EVVO12">#REF!</definedName>
    <definedName name="EVVO2">#REF!</definedName>
    <definedName name="Evvo3">#REF!</definedName>
    <definedName name="Evvo4">#REF!</definedName>
    <definedName name="Evvo5">#REF!</definedName>
    <definedName name="Evvo6">#REF!</definedName>
    <definedName name="kkkk">#REF!</definedName>
    <definedName name="koef">'SPORT S1 + S3 základní'!$AB$5</definedName>
    <definedName name="KOM">#REF!</definedName>
    <definedName name="KRI5A">#REF!</definedName>
    <definedName name="KRI5B">#REF!</definedName>
    <definedName name="MIN">#REF!</definedName>
    <definedName name="NE">#REF!</definedName>
    <definedName name="POUKAZ">#REF!</definedName>
    <definedName name="PRO">#REF!</definedName>
    <definedName name="PRVNI">#REF!</definedName>
    <definedName name="přep">#REF!</definedName>
    <definedName name="strop">'SPORT S3 nadstavba'!$P$3</definedName>
    <definedName name="stropy">'SPORT S1 + S3 základní'!#REF!</definedName>
    <definedName name="suma">'SPORT S1 + S3 základní'!$AD$5</definedName>
    <definedName name="sumadetiS3">'SPORT S1 + S3 základní'!$AG$92</definedName>
    <definedName name="sumaS3">'SPORT S1 + S3 základní'!$AD$92</definedName>
    <definedName name="sumatrenerS3">'SPORT S1 + S3 základní'!$AJ$92</definedName>
    <definedName name="TR">#REF!</definedName>
    <definedName name="TREN">#REF!</definedName>
    <definedName name="TRENER">'SPORT S1 + S3 základní'!$AJ$5</definedName>
    <definedName name="treneriS3">'SPORT S1 + S3 základní'!$AK$92</definedName>
    <definedName name="TRETI">#REF!</definedName>
    <definedName name="X">#REF!</definedName>
    <definedName name="XY">#REF!</definedName>
    <definedName name="Y">#REF!</definedName>
    <definedName name="ZAC1">#REF!</definedName>
    <definedName name="ZAC2">#REF!</definedName>
    <definedName name="ZAC3">#REF!</definedName>
    <definedName name="ZAC4">#REF!</definedName>
    <definedName name="ZAC5">#REF!</definedName>
    <definedName name="ZAC6">#REF!</definedName>
    <definedName name="Zůstatek">'SPORT S1 + S3 základní'!$AR$4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4" l="1"/>
  <c r="AJ110" i="23" l="1"/>
  <c r="AL110" i="23" s="1"/>
  <c r="AG110" i="23"/>
  <c r="AI110" i="23" s="1"/>
  <c r="AD110" i="23"/>
  <c r="AF110" i="23" s="1"/>
  <c r="AB110" i="23"/>
  <c r="X110" i="23"/>
  <c r="T110" i="23"/>
  <c r="P110" i="23"/>
  <c r="O110" i="23" s="1"/>
  <c r="AJ109" i="23"/>
  <c r="AL109" i="23" s="1"/>
  <c r="AG109" i="23"/>
  <c r="AI109" i="23" s="1"/>
  <c r="AD109" i="23"/>
  <c r="AF109" i="23" s="1"/>
  <c r="X109" i="23"/>
  <c r="T109" i="23"/>
  <c r="P109" i="23"/>
  <c r="O109" i="23" l="1"/>
  <c r="AO109" i="23"/>
  <c r="AP109" i="23" s="1"/>
  <c r="AO110" i="23"/>
  <c r="AP110" i="23" s="1"/>
  <c r="AQ110" i="23"/>
  <c r="AQ109" i="23"/>
  <c r="N39" i="24"/>
  <c r="E41" i="24" l="1"/>
  <c r="E42" i="24" s="1"/>
  <c r="N126" i="23" l="1"/>
  <c r="N125" i="23"/>
  <c r="N124" i="23"/>
  <c r="AT107" i="23"/>
  <c r="AT106" i="23"/>
  <c r="AJ92" i="23"/>
  <c r="AG92" i="23"/>
  <c r="AD92" i="23"/>
  <c r="AK5" i="23"/>
  <c r="AH5" i="23"/>
  <c r="AS108" i="23"/>
  <c r="H124" i="23" s="1"/>
  <c r="AP108" i="23"/>
  <c r="AT108" i="23" l="1"/>
  <c r="L124" i="23" s="1"/>
  <c r="AN106" i="23"/>
  <c r="S104" i="23"/>
  <c r="U104" i="23"/>
  <c r="V104" i="23"/>
  <c r="W104" i="23"/>
  <c r="Y104" i="23"/>
  <c r="Z104" i="23"/>
  <c r="Q91" i="23"/>
  <c r="R91" i="23"/>
  <c r="S91" i="23"/>
  <c r="U91" i="23"/>
  <c r="V91" i="23"/>
  <c r="W91" i="23"/>
  <c r="Y91" i="23"/>
  <c r="Z91" i="23"/>
  <c r="E116" i="23" l="1"/>
  <c r="P72" i="23" l="1"/>
  <c r="P83" i="23" l="1"/>
  <c r="P17" i="23" l="1"/>
  <c r="P82" i="23" l="1"/>
  <c r="X7" i="23" l="1"/>
  <c r="P69" i="23" l="1"/>
  <c r="AA106" i="23" l="1"/>
  <c r="AA94" i="23"/>
  <c r="AA95" i="23"/>
  <c r="AA96" i="23"/>
  <c r="AA97" i="23"/>
  <c r="AA98" i="23"/>
  <c r="AA99" i="23"/>
  <c r="AA100" i="23"/>
  <c r="AA101" i="23"/>
  <c r="AA102" i="23"/>
  <c r="AA103" i="23"/>
  <c r="AA7" i="23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47" i="23"/>
  <c r="AA48" i="23"/>
  <c r="AA49" i="23"/>
  <c r="AB49" i="23" s="1"/>
  <c r="AA50" i="23"/>
  <c r="AA51" i="23"/>
  <c r="AA52" i="23"/>
  <c r="AA53" i="23"/>
  <c r="AA54" i="23"/>
  <c r="AA55" i="23"/>
  <c r="AA56" i="23"/>
  <c r="AA57" i="23"/>
  <c r="AA58" i="23"/>
  <c r="AA59" i="23"/>
  <c r="AA60" i="23"/>
  <c r="AA61" i="23"/>
  <c r="AA62" i="23"/>
  <c r="AA63" i="23"/>
  <c r="AA64" i="23"/>
  <c r="AA65" i="23"/>
  <c r="AA66" i="23"/>
  <c r="AA67" i="23"/>
  <c r="AA68" i="23"/>
  <c r="AA69" i="23"/>
  <c r="AA70" i="23"/>
  <c r="AA71" i="23"/>
  <c r="AA72" i="23"/>
  <c r="AA73" i="23"/>
  <c r="AA74" i="23"/>
  <c r="AA75" i="23"/>
  <c r="AA76" i="23"/>
  <c r="AA77" i="23"/>
  <c r="AA78" i="23"/>
  <c r="AA79" i="23"/>
  <c r="AA80" i="23"/>
  <c r="AA81" i="23"/>
  <c r="AA82" i="23"/>
  <c r="AA83" i="23"/>
  <c r="AA84" i="23"/>
  <c r="AA85" i="23"/>
  <c r="AA86" i="23"/>
  <c r="AA87" i="23"/>
  <c r="AA88" i="23"/>
  <c r="AA89" i="23"/>
  <c r="AA90" i="23"/>
  <c r="AA6" i="23"/>
  <c r="X107" i="23" l="1"/>
  <c r="AD107" i="23" s="1"/>
  <c r="T107" i="23"/>
  <c r="P107" i="23"/>
  <c r="O107" i="23" l="1"/>
  <c r="AN107" i="23" s="1"/>
  <c r="AO107" i="23" s="1"/>
  <c r="AB84" i="23" l="1"/>
  <c r="T105" i="23"/>
  <c r="T106" i="23"/>
  <c r="P105" i="23"/>
  <c r="P106" i="23"/>
  <c r="X106" i="23"/>
  <c r="AD106" i="23" s="1"/>
  <c r="AB107" i="23"/>
  <c r="O105" i="23" l="1"/>
  <c r="P89" i="23"/>
  <c r="P84" i="23" l="1"/>
  <c r="P85" i="23"/>
  <c r="AJ89" i="23" l="1"/>
  <c r="AJ84" i="23"/>
  <c r="AJ85" i="23"/>
  <c r="AJ83" i="23"/>
  <c r="AJ69" i="23"/>
  <c r="AJ70" i="23"/>
  <c r="AJ71" i="23"/>
  <c r="AJ72" i="23"/>
  <c r="AJ73" i="23"/>
  <c r="AJ74" i="23"/>
  <c r="AJ75" i="23"/>
  <c r="AJ76" i="23"/>
  <c r="AJ77" i="23"/>
  <c r="AJ78" i="23"/>
  <c r="AJ79" i="23"/>
  <c r="AG89" i="23"/>
  <c r="AG84" i="23"/>
  <c r="AG85" i="23"/>
  <c r="AG83" i="23"/>
  <c r="AG69" i="23"/>
  <c r="AG70" i="23"/>
  <c r="AG71" i="23"/>
  <c r="AG72" i="23"/>
  <c r="AG73" i="23"/>
  <c r="AG74" i="23"/>
  <c r="AG75" i="23"/>
  <c r="AG76" i="23"/>
  <c r="AG77" i="23"/>
  <c r="AG78" i="23"/>
  <c r="AG79" i="23"/>
  <c r="AD89" i="23"/>
  <c r="AD84" i="23"/>
  <c r="AD85" i="23"/>
  <c r="AD83" i="23"/>
  <c r="AD69" i="23"/>
  <c r="AD70" i="23"/>
  <c r="AD71" i="23"/>
  <c r="AD72" i="23"/>
  <c r="AD73" i="23"/>
  <c r="AD74" i="23"/>
  <c r="AD75" i="23"/>
  <c r="AD76" i="23"/>
  <c r="AD77" i="23"/>
  <c r="AD78" i="23"/>
  <c r="AD79" i="23"/>
  <c r="AB69" i="23"/>
  <c r="AB70" i="23"/>
  <c r="AB71" i="23"/>
  <c r="AB72" i="23"/>
  <c r="AB73" i="23"/>
  <c r="AB74" i="23"/>
  <c r="AB75" i="23"/>
  <c r="AB76" i="23"/>
  <c r="AB77" i="23"/>
  <c r="AB78" i="23"/>
  <c r="AB79" i="23"/>
  <c r="AB83" i="23"/>
  <c r="AB85" i="23"/>
  <c r="AB89" i="23"/>
  <c r="X90" i="23"/>
  <c r="T89" i="23"/>
  <c r="X89" i="23"/>
  <c r="X84" i="23"/>
  <c r="X85" i="23"/>
  <c r="X83" i="23"/>
  <c r="X69" i="23"/>
  <c r="X70" i="23"/>
  <c r="X71" i="23"/>
  <c r="X72" i="23"/>
  <c r="X73" i="23"/>
  <c r="X74" i="23"/>
  <c r="X75" i="23"/>
  <c r="X76" i="23"/>
  <c r="X77" i="23"/>
  <c r="X78" i="23"/>
  <c r="T85" i="23"/>
  <c r="T84" i="23"/>
  <c r="T83" i="23"/>
  <c r="O83" i="23" s="1"/>
  <c r="T75" i="23"/>
  <c r="T76" i="23"/>
  <c r="T77" i="23"/>
  <c r="T78" i="23"/>
  <c r="T79" i="23"/>
  <c r="T69" i="23"/>
  <c r="O69" i="23" s="1"/>
  <c r="T70" i="23"/>
  <c r="T71" i="23"/>
  <c r="T72" i="23"/>
  <c r="O72" i="23" s="1"/>
  <c r="T73" i="23"/>
  <c r="T74" i="23"/>
  <c r="P7" i="23"/>
  <c r="AJ7" i="23"/>
  <c r="AG7" i="23"/>
  <c r="AD7" i="23"/>
  <c r="AB7" i="23"/>
  <c r="T7" i="23"/>
  <c r="O7" i="23" l="1"/>
  <c r="O84" i="23"/>
  <c r="P77" i="23"/>
  <c r="O77" i="23" s="1"/>
  <c r="P78" i="23"/>
  <c r="O78" i="23" s="1"/>
  <c r="P79" i="23"/>
  <c r="O79" i="23" s="1"/>
  <c r="P70" i="23"/>
  <c r="O70" i="23" s="1"/>
  <c r="P71" i="23"/>
  <c r="O71" i="23" s="1"/>
  <c r="P73" i="23"/>
  <c r="O73" i="23" s="1"/>
  <c r="P74" i="23"/>
  <c r="O74" i="23" s="1"/>
  <c r="P75" i="23"/>
  <c r="O75" i="23" s="1"/>
  <c r="P76" i="23"/>
  <c r="O76" i="23" s="1"/>
  <c r="P6" i="23"/>
  <c r="T6" i="23"/>
  <c r="X6" i="23"/>
  <c r="AB6" i="23"/>
  <c r="AD6" i="23"/>
  <c r="AG6" i="23"/>
  <c r="AJ6" i="23"/>
  <c r="P8" i="23"/>
  <c r="T8" i="23"/>
  <c r="X8" i="23"/>
  <c r="AB8" i="23"/>
  <c r="AD8" i="23"/>
  <c r="AG8" i="23"/>
  <c r="AJ8" i="23"/>
  <c r="P9" i="23"/>
  <c r="T9" i="23"/>
  <c r="X9" i="23"/>
  <c r="AB9" i="23"/>
  <c r="AD9" i="23"/>
  <c r="AG9" i="23"/>
  <c r="AJ9" i="23"/>
  <c r="P10" i="23"/>
  <c r="T10" i="23"/>
  <c r="X10" i="23"/>
  <c r="AB10" i="23"/>
  <c r="AD10" i="23"/>
  <c r="AG10" i="23"/>
  <c r="AJ10" i="23"/>
  <c r="P11" i="23"/>
  <c r="T11" i="23"/>
  <c r="AB11" i="23"/>
  <c r="AD11" i="23"/>
  <c r="AG11" i="23"/>
  <c r="AJ11" i="23"/>
  <c r="P12" i="23"/>
  <c r="T12" i="23"/>
  <c r="X12" i="23"/>
  <c r="AB12" i="23"/>
  <c r="AD12" i="23"/>
  <c r="AG12" i="23"/>
  <c r="AJ12" i="23"/>
  <c r="P13" i="23"/>
  <c r="T13" i="23"/>
  <c r="X13" i="23"/>
  <c r="AB13" i="23"/>
  <c r="AD13" i="23"/>
  <c r="AG13" i="23"/>
  <c r="AJ13" i="23"/>
  <c r="P14" i="23"/>
  <c r="T14" i="23"/>
  <c r="X14" i="23"/>
  <c r="AB14" i="23"/>
  <c r="AD14" i="23"/>
  <c r="AG14" i="23"/>
  <c r="AJ14" i="23"/>
  <c r="P15" i="23"/>
  <c r="T15" i="23"/>
  <c r="X15" i="23"/>
  <c r="AB15" i="23"/>
  <c r="AD15" i="23"/>
  <c r="AG15" i="23"/>
  <c r="AJ15" i="23"/>
  <c r="P16" i="23"/>
  <c r="T16" i="23"/>
  <c r="X16" i="23"/>
  <c r="AB16" i="23"/>
  <c r="AD16" i="23"/>
  <c r="AG16" i="23"/>
  <c r="AJ16" i="23"/>
  <c r="T17" i="23"/>
  <c r="AB17" i="23"/>
  <c r="AD17" i="23"/>
  <c r="AG17" i="23"/>
  <c r="AJ17" i="23"/>
  <c r="P18" i="23"/>
  <c r="T18" i="23"/>
  <c r="X18" i="23"/>
  <c r="AB18" i="23"/>
  <c r="AD18" i="23"/>
  <c r="AG18" i="23"/>
  <c r="AJ18" i="23"/>
  <c r="P19" i="23"/>
  <c r="T19" i="23"/>
  <c r="AB19" i="23"/>
  <c r="AD19" i="23"/>
  <c r="AG19" i="23"/>
  <c r="AJ19" i="23"/>
  <c r="P20" i="23"/>
  <c r="T20" i="23"/>
  <c r="X20" i="23"/>
  <c r="AB20" i="23"/>
  <c r="AD20" i="23"/>
  <c r="AG20" i="23"/>
  <c r="AJ20" i="23"/>
  <c r="P21" i="23"/>
  <c r="T21" i="23"/>
  <c r="X21" i="23"/>
  <c r="AB21" i="23"/>
  <c r="AD21" i="23"/>
  <c r="AG21" i="23"/>
  <c r="AJ21" i="23"/>
  <c r="P22" i="23"/>
  <c r="T22" i="23"/>
  <c r="X22" i="23"/>
  <c r="AB22" i="23"/>
  <c r="AD22" i="23"/>
  <c r="AG22" i="23"/>
  <c r="AJ22" i="23"/>
  <c r="P23" i="23"/>
  <c r="T23" i="23"/>
  <c r="X23" i="23"/>
  <c r="AB23" i="23"/>
  <c r="AD23" i="23"/>
  <c r="AG23" i="23"/>
  <c r="AJ23" i="23"/>
  <c r="P24" i="23"/>
  <c r="T24" i="23"/>
  <c r="X24" i="23"/>
  <c r="AB24" i="23"/>
  <c r="AD24" i="23"/>
  <c r="AG24" i="23"/>
  <c r="AJ24" i="23"/>
  <c r="P25" i="23"/>
  <c r="T25" i="23"/>
  <c r="X25" i="23"/>
  <c r="AB25" i="23"/>
  <c r="AD25" i="23"/>
  <c r="AG25" i="23"/>
  <c r="AJ25" i="23"/>
  <c r="P26" i="23"/>
  <c r="T26" i="23"/>
  <c r="AB26" i="23"/>
  <c r="AD26" i="23"/>
  <c r="AG26" i="23"/>
  <c r="AJ26" i="23"/>
  <c r="P27" i="23"/>
  <c r="T27" i="23"/>
  <c r="X27" i="23"/>
  <c r="AB27" i="23"/>
  <c r="AD27" i="23"/>
  <c r="AG27" i="23"/>
  <c r="AJ27" i="23"/>
  <c r="P28" i="23"/>
  <c r="T28" i="23"/>
  <c r="X28" i="23"/>
  <c r="AB28" i="23"/>
  <c r="AD28" i="23"/>
  <c r="AG28" i="23"/>
  <c r="AJ28" i="23"/>
  <c r="P29" i="23"/>
  <c r="T29" i="23"/>
  <c r="X29" i="23"/>
  <c r="AB29" i="23"/>
  <c r="AD29" i="23"/>
  <c r="AG29" i="23"/>
  <c r="AJ29" i="23"/>
  <c r="P30" i="23"/>
  <c r="T30" i="23"/>
  <c r="X30" i="23"/>
  <c r="AB30" i="23"/>
  <c r="AD30" i="23"/>
  <c r="AG30" i="23"/>
  <c r="AJ30" i="23"/>
  <c r="P31" i="23"/>
  <c r="T31" i="23"/>
  <c r="X31" i="23"/>
  <c r="AB31" i="23"/>
  <c r="AD31" i="23"/>
  <c r="AG31" i="23"/>
  <c r="AJ31" i="23"/>
  <c r="P32" i="23"/>
  <c r="T32" i="23"/>
  <c r="X32" i="23"/>
  <c r="AB32" i="23"/>
  <c r="AD32" i="23"/>
  <c r="AG32" i="23"/>
  <c r="AJ32" i="23"/>
  <c r="P33" i="23"/>
  <c r="T33" i="23"/>
  <c r="X33" i="23"/>
  <c r="AB33" i="23"/>
  <c r="AD33" i="23"/>
  <c r="AG33" i="23"/>
  <c r="AJ33" i="23"/>
  <c r="P34" i="23"/>
  <c r="T34" i="23"/>
  <c r="X34" i="23"/>
  <c r="AB34" i="23"/>
  <c r="AD34" i="23"/>
  <c r="AG34" i="23"/>
  <c r="AJ34" i="23"/>
  <c r="P35" i="23"/>
  <c r="T35" i="23"/>
  <c r="X35" i="23"/>
  <c r="AB35" i="23"/>
  <c r="AD35" i="23"/>
  <c r="AG35" i="23"/>
  <c r="AJ35" i="23"/>
  <c r="P36" i="23"/>
  <c r="T36" i="23"/>
  <c r="X36" i="23"/>
  <c r="AB36" i="23"/>
  <c r="AD36" i="23"/>
  <c r="AG36" i="23"/>
  <c r="AJ36" i="23"/>
  <c r="P37" i="23"/>
  <c r="T37" i="23"/>
  <c r="X37" i="23"/>
  <c r="AB37" i="23"/>
  <c r="AD37" i="23"/>
  <c r="AG37" i="23"/>
  <c r="AJ37" i="23"/>
  <c r="P38" i="23"/>
  <c r="T38" i="23"/>
  <c r="X38" i="23"/>
  <c r="AB38" i="23"/>
  <c r="AD38" i="23"/>
  <c r="AG38" i="23"/>
  <c r="AJ38" i="23"/>
  <c r="P39" i="23"/>
  <c r="T39" i="23"/>
  <c r="X39" i="23"/>
  <c r="AB39" i="23"/>
  <c r="AD39" i="23"/>
  <c r="AG39" i="23"/>
  <c r="AJ39" i="23"/>
  <c r="P40" i="23"/>
  <c r="T40" i="23"/>
  <c r="X40" i="23"/>
  <c r="AB40" i="23"/>
  <c r="AD40" i="23"/>
  <c r="AG40" i="23"/>
  <c r="AJ40" i="23"/>
  <c r="P41" i="23"/>
  <c r="T41" i="23"/>
  <c r="X41" i="23"/>
  <c r="AB41" i="23"/>
  <c r="AD41" i="23"/>
  <c r="AG41" i="23"/>
  <c r="AJ41" i="23"/>
  <c r="P42" i="23"/>
  <c r="T42" i="23"/>
  <c r="X42" i="23"/>
  <c r="AB42" i="23"/>
  <c r="AD42" i="23"/>
  <c r="AG42" i="23"/>
  <c r="AJ42" i="23"/>
  <c r="P43" i="23"/>
  <c r="T43" i="23"/>
  <c r="X43" i="23"/>
  <c r="AB43" i="23"/>
  <c r="AD43" i="23"/>
  <c r="AG43" i="23"/>
  <c r="AJ43" i="23"/>
  <c r="P44" i="23"/>
  <c r="T44" i="23"/>
  <c r="X44" i="23"/>
  <c r="AB44" i="23"/>
  <c r="AD44" i="23"/>
  <c r="AG44" i="23"/>
  <c r="AJ44" i="23"/>
  <c r="P45" i="23"/>
  <c r="T45" i="23"/>
  <c r="X45" i="23"/>
  <c r="AB45" i="23"/>
  <c r="AD45" i="23"/>
  <c r="AG45" i="23"/>
  <c r="AJ45" i="23"/>
  <c r="P46" i="23"/>
  <c r="T46" i="23"/>
  <c r="X46" i="23"/>
  <c r="AB46" i="23"/>
  <c r="AD46" i="23"/>
  <c r="AG46" i="23"/>
  <c r="AJ46" i="23"/>
  <c r="P47" i="23"/>
  <c r="T47" i="23"/>
  <c r="X47" i="23"/>
  <c r="AB47" i="23"/>
  <c r="AD47" i="23"/>
  <c r="AG47" i="23"/>
  <c r="AJ47" i="23"/>
  <c r="P48" i="23"/>
  <c r="T48" i="23"/>
  <c r="X48" i="23"/>
  <c r="AB48" i="23"/>
  <c r="AD48" i="23"/>
  <c r="AG48" i="23"/>
  <c r="AJ48" i="23"/>
  <c r="P49" i="23"/>
  <c r="T49" i="23"/>
  <c r="X49" i="23"/>
  <c r="AD49" i="23"/>
  <c r="AG49" i="23"/>
  <c r="AJ49" i="23"/>
  <c r="P50" i="23"/>
  <c r="T50" i="23"/>
  <c r="X50" i="23"/>
  <c r="AB50" i="23"/>
  <c r="AD50" i="23"/>
  <c r="AG50" i="23"/>
  <c r="AJ50" i="23"/>
  <c r="P51" i="23"/>
  <c r="T51" i="23"/>
  <c r="X51" i="23"/>
  <c r="AB51" i="23"/>
  <c r="AD51" i="23"/>
  <c r="AG51" i="23"/>
  <c r="AJ51" i="23"/>
  <c r="P52" i="23"/>
  <c r="T52" i="23"/>
  <c r="X52" i="23"/>
  <c r="AB52" i="23"/>
  <c r="AD52" i="23"/>
  <c r="AG52" i="23"/>
  <c r="AJ52" i="23"/>
  <c r="P53" i="23"/>
  <c r="T53" i="23"/>
  <c r="X53" i="23"/>
  <c r="AB53" i="23"/>
  <c r="AD53" i="23"/>
  <c r="AG53" i="23"/>
  <c r="AJ53" i="23"/>
  <c r="P54" i="23"/>
  <c r="T54" i="23"/>
  <c r="X54" i="23"/>
  <c r="AB54" i="23"/>
  <c r="AD54" i="23"/>
  <c r="AG54" i="23"/>
  <c r="AJ54" i="23"/>
  <c r="P55" i="23"/>
  <c r="T55" i="23"/>
  <c r="X55" i="23"/>
  <c r="AB55" i="23"/>
  <c r="AD55" i="23"/>
  <c r="AG55" i="23"/>
  <c r="AJ55" i="23"/>
  <c r="P56" i="23"/>
  <c r="T56" i="23"/>
  <c r="X56" i="23"/>
  <c r="AB56" i="23"/>
  <c r="AD56" i="23"/>
  <c r="AG56" i="23"/>
  <c r="AJ56" i="23"/>
  <c r="P57" i="23"/>
  <c r="T57" i="23"/>
  <c r="X57" i="23"/>
  <c r="AB57" i="23"/>
  <c r="AD57" i="23"/>
  <c r="AG57" i="23"/>
  <c r="AJ57" i="23"/>
  <c r="P58" i="23"/>
  <c r="T58" i="23"/>
  <c r="X58" i="23"/>
  <c r="AB58" i="23"/>
  <c r="AD58" i="23"/>
  <c r="AG58" i="23"/>
  <c r="AJ58" i="23"/>
  <c r="P59" i="23"/>
  <c r="T59" i="23"/>
  <c r="X59" i="23"/>
  <c r="AB59" i="23"/>
  <c r="AD59" i="23"/>
  <c r="AG59" i="23"/>
  <c r="AJ59" i="23"/>
  <c r="P60" i="23"/>
  <c r="T60" i="23"/>
  <c r="X60" i="23"/>
  <c r="AB60" i="23"/>
  <c r="AD60" i="23"/>
  <c r="AG60" i="23"/>
  <c r="AJ60" i="23"/>
  <c r="P61" i="23"/>
  <c r="T61" i="23"/>
  <c r="X61" i="23"/>
  <c r="AB61" i="23"/>
  <c r="AD61" i="23"/>
  <c r="AG61" i="23"/>
  <c r="AJ61" i="23"/>
  <c r="P62" i="23"/>
  <c r="T62" i="23"/>
  <c r="X62" i="23"/>
  <c r="AB62" i="23"/>
  <c r="AD62" i="23"/>
  <c r="AG62" i="23"/>
  <c r="AJ62" i="23"/>
  <c r="P63" i="23"/>
  <c r="T63" i="23"/>
  <c r="X63" i="23"/>
  <c r="AB63" i="23"/>
  <c r="AD63" i="23"/>
  <c r="AG63" i="23"/>
  <c r="AJ63" i="23"/>
  <c r="P64" i="23"/>
  <c r="T64" i="23"/>
  <c r="X64" i="23"/>
  <c r="AB64" i="23"/>
  <c r="AD64" i="23"/>
  <c r="AG64" i="23"/>
  <c r="AJ64" i="23"/>
  <c r="P65" i="23"/>
  <c r="T65" i="23"/>
  <c r="X65" i="23"/>
  <c r="AB65" i="23"/>
  <c r="AD65" i="23"/>
  <c r="AG65" i="23"/>
  <c r="AJ65" i="23"/>
  <c r="P66" i="23"/>
  <c r="T66" i="23"/>
  <c r="X66" i="23"/>
  <c r="AB66" i="23"/>
  <c r="AD66" i="23"/>
  <c r="AG66" i="23"/>
  <c r="AJ66" i="23"/>
  <c r="P67" i="23"/>
  <c r="T67" i="23"/>
  <c r="X67" i="23"/>
  <c r="AB67" i="23"/>
  <c r="AD67" i="23"/>
  <c r="AG67" i="23"/>
  <c r="AJ67" i="23"/>
  <c r="P68" i="23"/>
  <c r="T68" i="23"/>
  <c r="X68" i="23"/>
  <c r="AB68" i="23"/>
  <c r="AD68" i="23"/>
  <c r="AG68" i="23"/>
  <c r="AJ68" i="23"/>
  <c r="P80" i="23"/>
  <c r="T80" i="23"/>
  <c r="X80" i="23"/>
  <c r="AB80" i="23"/>
  <c r="AD80" i="23"/>
  <c r="AG80" i="23"/>
  <c r="AJ80" i="23"/>
  <c r="P81" i="23"/>
  <c r="T81" i="23"/>
  <c r="X81" i="23"/>
  <c r="AB81" i="23"/>
  <c r="AD81" i="23"/>
  <c r="AG81" i="23"/>
  <c r="AJ81" i="23"/>
  <c r="T82" i="23"/>
  <c r="X82" i="23"/>
  <c r="AB82" i="23"/>
  <c r="AD82" i="23"/>
  <c r="AG82" i="23"/>
  <c r="AJ82" i="23"/>
  <c r="P86" i="23"/>
  <c r="T86" i="23"/>
  <c r="X86" i="23"/>
  <c r="AB86" i="23"/>
  <c r="AD86" i="23"/>
  <c r="AG86" i="23"/>
  <c r="AJ86" i="23"/>
  <c r="P87" i="23"/>
  <c r="T87" i="23"/>
  <c r="X87" i="23"/>
  <c r="AB87" i="23"/>
  <c r="AD87" i="23"/>
  <c r="AG87" i="23"/>
  <c r="AJ87" i="23"/>
  <c r="P88" i="23"/>
  <c r="T88" i="23"/>
  <c r="X88" i="23"/>
  <c r="AB88" i="23"/>
  <c r="AD88" i="23"/>
  <c r="AG88" i="23"/>
  <c r="AJ88" i="23"/>
  <c r="P90" i="23"/>
  <c r="T90" i="23"/>
  <c r="AB90" i="23"/>
  <c r="AD90" i="23"/>
  <c r="AG90" i="23"/>
  <c r="AJ90" i="23"/>
  <c r="AA91" i="23"/>
  <c r="AM91" i="23"/>
  <c r="H123" i="23" s="1"/>
  <c r="AN91" i="23"/>
  <c r="P93" i="23"/>
  <c r="T93" i="23"/>
  <c r="X93" i="23"/>
  <c r="AB93" i="23"/>
  <c r="AD93" i="23"/>
  <c r="AG93" i="23"/>
  <c r="AJ93" i="23"/>
  <c r="P94" i="23"/>
  <c r="T94" i="23"/>
  <c r="X94" i="23"/>
  <c r="AB94" i="23"/>
  <c r="AD94" i="23"/>
  <c r="AG94" i="23"/>
  <c r="AJ94" i="23"/>
  <c r="P95" i="23"/>
  <c r="T95" i="23"/>
  <c r="X95" i="23"/>
  <c r="AB95" i="23"/>
  <c r="AD95" i="23"/>
  <c r="AG95" i="23"/>
  <c r="AJ95" i="23"/>
  <c r="P96" i="23"/>
  <c r="T96" i="23"/>
  <c r="X96" i="23"/>
  <c r="AB96" i="23"/>
  <c r="AD96" i="23"/>
  <c r="AG96" i="23"/>
  <c r="AJ96" i="23"/>
  <c r="P97" i="23"/>
  <c r="T97" i="23"/>
  <c r="X97" i="23"/>
  <c r="AB97" i="23"/>
  <c r="AD97" i="23"/>
  <c r="AG97" i="23"/>
  <c r="AJ97" i="23"/>
  <c r="P98" i="23"/>
  <c r="T98" i="23"/>
  <c r="X98" i="23"/>
  <c r="AB98" i="23"/>
  <c r="AD98" i="23"/>
  <c r="AG98" i="23"/>
  <c r="AJ98" i="23"/>
  <c r="P99" i="23"/>
  <c r="T99" i="23"/>
  <c r="X99" i="23"/>
  <c r="AB99" i="23"/>
  <c r="AD99" i="23"/>
  <c r="AG99" i="23"/>
  <c r="AJ99" i="23"/>
  <c r="P100" i="23"/>
  <c r="T100" i="23"/>
  <c r="X100" i="23"/>
  <c r="AB100" i="23"/>
  <c r="AD100" i="23"/>
  <c r="AG100" i="23"/>
  <c r="AJ100" i="23"/>
  <c r="P101" i="23"/>
  <c r="T101" i="23"/>
  <c r="X101" i="23"/>
  <c r="AB101" i="23"/>
  <c r="AD101" i="23"/>
  <c r="AG101" i="23"/>
  <c r="AJ101" i="23"/>
  <c r="P102" i="23"/>
  <c r="T102" i="23"/>
  <c r="X102" i="23"/>
  <c r="AB102" i="23"/>
  <c r="AD102" i="23"/>
  <c r="AG102" i="23"/>
  <c r="AJ102" i="23"/>
  <c r="P103" i="23"/>
  <c r="T103" i="23"/>
  <c r="X103" i="23"/>
  <c r="AB103" i="23"/>
  <c r="AD103" i="23"/>
  <c r="AG103" i="23"/>
  <c r="AJ103" i="23"/>
  <c r="Q104" i="23"/>
  <c r="R104" i="23"/>
  <c r="AA104" i="23"/>
  <c r="AC104" i="23"/>
  <c r="AM104" i="23"/>
  <c r="J123" i="23" s="1"/>
  <c r="AN104" i="23"/>
  <c r="AB106" i="23"/>
  <c r="AO106" i="23"/>
  <c r="X91" i="23" l="1"/>
  <c r="J121" i="23"/>
  <c r="F128" i="23" s="1"/>
  <c r="N123" i="23"/>
  <c r="T91" i="23"/>
  <c r="T104" i="23"/>
  <c r="X104" i="23"/>
  <c r="H127" i="23"/>
  <c r="AD5" i="23" s="1"/>
  <c r="L123" i="23"/>
  <c r="P104" i="23"/>
  <c r="O86" i="23"/>
  <c r="O100" i="23"/>
  <c r="O35" i="23"/>
  <c r="O27" i="23"/>
  <c r="O20" i="23"/>
  <c r="O51" i="23"/>
  <c r="O48" i="23"/>
  <c r="O40" i="23"/>
  <c r="O33" i="23"/>
  <c r="O18" i="23"/>
  <c r="O10" i="23"/>
  <c r="O97" i="23"/>
  <c r="O53" i="23"/>
  <c r="O44" i="23"/>
  <c r="O36" i="23"/>
  <c r="O29" i="23"/>
  <c r="O22" i="23"/>
  <c r="O14" i="23"/>
  <c r="O90" i="23"/>
  <c r="O80" i="23"/>
  <c r="O63" i="23"/>
  <c r="O8" i="23"/>
  <c r="O65" i="23"/>
  <c r="O25" i="23"/>
  <c r="O66" i="23"/>
  <c r="O60" i="23"/>
  <c r="O50" i="23"/>
  <c r="O101" i="23"/>
  <c r="AG104" i="23"/>
  <c r="O93" i="23"/>
  <c r="O81" i="23"/>
  <c r="O64" i="23"/>
  <c r="O56" i="23"/>
  <c r="O55" i="23"/>
  <c r="O6" i="23"/>
  <c r="O58" i="23"/>
  <c r="O46" i="23"/>
  <c r="O38" i="23"/>
  <c r="O31" i="23"/>
  <c r="O16" i="23"/>
  <c r="O96" i="23"/>
  <c r="O59" i="23"/>
  <c r="O47" i="23"/>
  <c r="O9" i="23"/>
  <c r="O103" i="23"/>
  <c r="O82" i="23"/>
  <c r="O98" i="23"/>
  <c r="AD104" i="23"/>
  <c r="O87" i="23"/>
  <c r="O67" i="23"/>
  <c r="O61" i="23"/>
  <c r="O49" i="23"/>
  <c r="O41" i="23"/>
  <c r="O34" i="23"/>
  <c r="O26" i="23"/>
  <c r="O19" i="23"/>
  <c r="O11" i="23"/>
  <c r="O99" i="23"/>
  <c r="O88" i="23"/>
  <c r="O68" i="23"/>
  <c r="O62" i="23"/>
  <c r="O52" i="23"/>
  <c r="O42" i="23"/>
  <c r="O12" i="23"/>
  <c r="O94" i="23"/>
  <c r="O95" i="23"/>
  <c r="O54" i="23"/>
  <c r="O102" i="23"/>
  <c r="O57" i="23"/>
  <c r="O45" i="23"/>
  <c r="O30" i="23"/>
  <c r="O15" i="23"/>
  <c r="AJ104" i="23"/>
  <c r="AG91" i="23"/>
  <c r="AD91" i="23"/>
  <c r="AE5" i="23" s="1"/>
  <c r="P91" i="23"/>
  <c r="AJ91" i="23"/>
  <c r="O43" i="23"/>
  <c r="O32" i="23"/>
  <c r="O17" i="23"/>
  <c r="O37" i="23"/>
  <c r="O23" i="23"/>
  <c r="O28" i="23"/>
  <c r="O13" i="23"/>
  <c r="O24" i="23"/>
  <c r="O39" i="23"/>
  <c r="O21" i="23"/>
  <c r="O104" i="23" l="1"/>
  <c r="AH92" i="23"/>
  <c r="AH102" i="23" s="1"/>
  <c r="AI102" i="23" s="1"/>
  <c r="AK92" i="23"/>
  <c r="AK100" i="23" s="1"/>
  <c r="AL100" i="23" s="1"/>
  <c r="AE92" i="23"/>
  <c r="AE93" i="23" s="1"/>
  <c r="AF93" i="23" s="1"/>
  <c r="H121" i="23"/>
  <c r="AH94" i="23"/>
  <c r="AI94" i="23" s="1"/>
  <c r="O91" i="23"/>
  <c r="AH95" i="23"/>
  <c r="AI95" i="23" s="1"/>
  <c r="K18" i="25"/>
  <c r="I18" i="25"/>
  <c r="E18" i="25"/>
  <c r="G18" i="25"/>
  <c r="AK103" i="23" l="1"/>
  <c r="AL103" i="23" s="1"/>
  <c r="AK102" i="23"/>
  <c r="AL102" i="23" s="1"/>
  <c r="AK99" i="23"/>
  <c r="AL99" i="23" s="1"/>
  <c r="AE98" i="23"/>
  <c r="AF98" i="23" s="1"/>
  <c r="AE103" i="23"/>
  <c r="AF103" i="23" s="1"/>
  <c r="AK98" i="23"/>
  <c r="AL98" i="23" s="1"/>
  <c r="AH99" i="23"/>
  <c r="AI99" i="23" s="1"/>
  <c r="AE99" i="23"/>
  <c r="AF99" i="23" s="1"/>
  <c r="AO99" i="23" s="1"/>
  <c r="AV99" i="23" s="1"/>
  <c r="AS99" i="23" s="1"/>
  <c r="AT99" i="23" s="1"/>
  <c r="D11" i="25" s="1"/>
  <c r="AH98" i="23"/>
  <c r="AI98" i="23" s="1"/>
  <c r="AE94" i="23"/>
  <c r="AF94" i="23" s="1"/>
  <c r="AH103" i="23"/>
  <c r="AI103" i="23" s="1"/>
  <c r="AE97" i="23"/>
  <c r="AF97" i="23" s="1"/>
  <c r="AE96" i="23"/>
  <c r="AF96" i="23" s="1"/>
  <c r="AK93" i="23"/>
  <c r="AL93" i="23" s="1"/>
  <c r="AK95" i="23"/>
  <c r="AL95" i="23" s="1"/>
  <c r="AE102" i="23"/>
  <c r="AF102" i="23" s="1"/>
  <c r="AO102" i="23" s="1"/>
  <c r="AV102" i="23" s="1"/>
  <c r="AS102" i="23" s="1"/>
  <c r="AT102" i="23" s="1"/>
  <c r="D12" i="25" s="1"/>
  <c r="AH97" i="23"/>
  <c r="AI97" i="23" s="1"/>
  <c r="AH101" i="23"/>
  <c r="AI101" i="23" s="1"/>
  <c r="AE95" i="23"/>
  <c r="AF95" i="23" s="1"/>
  <c r="AH93" i="23"/>
  <c r="AI93" i="23" s="1"/>
  <c r="AK101" i="23"/>
  <c r="AL101" i="23" s="1"/>
  <c r="AK94" i="23"/>
  <c r="AL94" i="23" s="1"/>
  <c r="AE100" i="23"/>
  <c r="AF100" i="23" s="1"/>
  <c r="AK97" i="23"/>
  <c r="AL97" i="23" s="1"/>
  <c r="AK96" i="23"/>
  <c r="AL96" i="23" s="1"/>
  <c r="AE101" i="23"/>
  <c r="AF101" i="23" s="1"/>
  <c r="AH100" i="23"/>
  <c r="AI100" i="23" s="1"/>
  <c r="AH96" i="23"/>
  <c r="AI96" i="23" s="1"/>
  <c r="AO93" i="23" l="1"/>
  <c r="AO103" i="23"/>
  <c r="AV103" i="23" s="1"/>
  <c r="AS103" i="23" s="1"/>
  <c r="AT103" i="23" s="1"/>
  <c r="D9" i="25" s="1"/>
  <c r="AO98" i="23"/>
  <c r="AV98" i="23" s="1"/>
  <c r="AS98" i="23" s="1"/>
  <c r="AT98" i="23" s="1"/>
  <c r="D7" i="25" s="1"/>
  <c r="AO94" i="23"/>
  <c r="AV94" i="23" s="1"/>
  <c r="AP94" i="23" s="1"/>
  <c r="AO95" i="23"/>
  <c r="AV95" i="23" s="1"/>
  <c r="AP95" i="23" s="1"/>
  <c r="AO97" i="23"/>
  <c r="AV97" i="23" s="1"/>
  <c r="AS97" i="23" s="1"/>
  <c r="AT97" i="23" s="1"/>
  <c r="D16" i="25" s="1"/>
  <c r="AF104" i="23"/>
  <c r="AL104" i="23"/>
  <c r="AO96" i="23"/>
  <c r="AV96" i="23" s="1"/>
  <c r="AP96" i="23" s="1"/>
  <c r="AI104" i="23"/>
  <c r="AO101" i="23"/>
  <c r="AV101" i="23" s="1"/>
  <c r="AS101" i="23" s="1"/>
  <c r="AT101" i="23" s="1"/>
  <c r="D17" i="25" s="1"/>
  <c r="AO100" i="23"/>
  <c r="AV100" i="23" s="1"/>
  <c r="AS100" i="23" s="1"/>
  <c r="AT100" i="23" s="1"/>
  <c r="D10" i="25" s="1"/>
  <c r="AH104" i="23"/>
  <c r="AP102" i="23"/>
  <c r="AP98" i="23"/>
  <c r="AP99" i="23"/>
  <c r="AV93" i="23"/>
  <c r="AS94" i="23" l="1"/>
  <c r="AT94" i="23" s="1"/>
  <c r="D15" i="25" s="1"/>
  <c r="AP103" i="23"/>
  <c r="AS95" i="23"/>
  <c r="AT95" i="23" s="1"/>
  <c r="D13" i="25" s="1"/>
  <c r="AP97" i="23"/>
  <c r="AS96" i="23"/>
  <c r="AT96" i="23" s="1"/>
  <c r="D14" i="25" s="1"/>
  <c r="AP101" i="23"/>
  <c r="AO104" i="23"/>
  <c r="AP100" i="23"/>
  <c r="AS93" i="23"/>
  <c r="AP93" i="23"/>
  <c r="AP104" i="23" l="1"/>
  <c r="AS104" i="23"/>
  <c r="AT93" i="23"/>
  <c r="AG5" i="23"/>
  <c r="AH6" i="23" l="1"/>
  <c r="AH47" i="23"/>
  <c r="AI47" i="23" s="1"/>
  <c r="AH17" i="23"/>
  <c r="AH25" i="23"/>
  <c r="AI25" i="23" s="1"/>
  <c r="AH33" i="23"/>
  <c r="AH41" i="23"/>
  <c r="AI41" i="23" s="1"/>
  <c r="AH49" i="23"/>
  <c r="AI49" i="23" s="1"/>
  <c r="AH37" i="23"/>
  <c r="AI37" i="23" s="1"/>
  <c r="AH23" i="23"/>
  <c r="AI23" i="23" s="1"/>
  <c r="AH21" i="23"/>
  <c r="AI21" i="23" s="1"/>
  <c r="AH31" i="23"/>
  <c r="AH29" i="23"/>
  <c r="AI29" i="23" s="1"/>
  <c r="AH45" i="23"/>
  <c r="AH39" i="23"/>
  <c r="AI39" i="23" s="1"/>
  <c r="AH22" i="23"/>
  <c r="AI22" i="23" s="1"/>
  <c r="AH43" i="23"/>
  <c r="AI43" i="23" s="1"/>
  <c r="AH50" i="23"/>
  <c r="AI50" i="23" s="1"/>
  <c r="AH30" i="23"/>
  <c r="AI30" i="23" s="1"/>
  <c r="AH35" i="23"/>
  <c r="AH42" i="23"/>
  <c r="AI42" i="23" s="1"/>
  <c r="AH27" i="23"/>
  <c r="AI27" i="23" s="1"/>
  <c r="AH34" i="23"/>
  <c r="AI34" i="23" s="1"/>
  <c r="AH48" i="23"/>
  <c r="AI48" i="23" s="1"/>
  <c r="AH44" i="23"/>
  <c r="AI44" i="23" s="1"/>
  <c r="AH19" i="23"/>
  <c r="AI19" i="23" s="1"/>
  <c r="AH26" i="23"/>
  <c r="AI26" i="23" s="1"/>
  <c r="AH40" i="23"/>
  <c r="AH36" i="23"/>
  <c r="AI36" i="23" s="1"/>
  <c r="AH18" i="23"/>
  <c r="AI18" i="23" s="1"/>
  <c r="AH32" i="23"/>
  <c r="AI32" i="23" s="1"/>
  <c r="AH28" i="23"/>
  <c r="AI28" i="23" s="1"/>
  <c r="AH24" i="23"/>
  <c r="AI24" i="23" s="1"/>
  <c r="AH20" i="23"/>
  <c r="AI20" i="23" s="1"/>
  <c r="AH16" i="23"/>
  <c r="AI16" i="23" s="1"/>
  <c r="AH46" i="23"/>
  <c r="AI46" i="23" s="1"/>
  <c r="AH38" i="23"/>
  <c r="AI38" i="23" s="1"/>
  <c r="D8" i="25"/>
  <c r="D18" i="25" s="1"/>
  <c r="AT104" i="23"/>
  <c r="N127" i="23" s="1"/>
  <c r="N121" i="23" s="1"/>
  <c r="F130" i="23" s="1"/>
  <c r="D2" i="25" s="1"/>
  <c r="AH76" i="23"/>
  <c r="AI76" i="23" s="1"/>
  <c r="AH69" i="23"/>
  <c r="AI69" i="23" s="1"/>
  <c r="AH89" i="23"/>
  <c r="AI89" i="23" s="1"/>
  <c r="AI6" i="23"/>
  <c r="AH78" i="23"/>
  <c r="AI78" i="23" s="1"/>
  <c r="AH72" i="23"/>
  <c r="AI72" i="23" s="1"/>
  <c r="AH83" i="23"/>
  <c r="AI83" i="23" s="1"/>
  <c r="AH79" i="23"/>
  <c r="AI79" i="23" s="1"/>
  <c r="AH75" i="23"/>
  <c r="AI75" i="23" s="1"/>
  <c r="AH71" i="23"/>
  <c r="AI71" i="23" s="1"/>
  <c r="AH85" i="23"/>
  <c r="AI85" i="23" s="1"/>
  <c r="AH74" i="23"/>
  <c r="AI74" i="23" s="1"/>
  <c r="AH70" i="23"/>
  <c r="AI70" i="23" s="1"/>
  <c r="AH84" i="23"/>
  <c r="AI84" i="23" s="1"/>
  <c r="AH77" i="23"/>
  <c r="AI77" i="23" s="1"/>
  <c r="AH73" i="23"/>
  <c r="AI73" i="23" s="1"/>
  <c r="AH7" i="23"/>
  <c r="AI7" i="23" s="1"/>
  <c r="AH82" i="23"/>
  <c r="AI82" i="23" s="1"/>
  <c r="AH52" i="23"/>
  <c r="AI52" i="23" s="1"/>
  <c r="AH68" i="23"/>
  <c r="AI68" i="23" s="1"/>
  <c r="AI35" i="23"/>
  <c r="AH14" i="23"/>
  <c r="AI14" i="23" s="1"/>
  <c r="AH53" i="23"/>
  <c r="AI53" i="23" s="1"/>
  <c r="AH10" i="23"/>
  <c r="AI10" i="23" s="1"/>
  <c r="AH87" i="23"/>
  <c r="AI87" i="23" s="1"/>
  <c r="AH88" i="23"/>
  <c r="AI88" i="23" s="1"/>
  <c r="AH57" i="23"/>
  <c r="AI57" i="23" s="1"/>
  <c r="AH56" i="23"/>
  <c r="AI56" i="23" s="1"/>
  <c r="AH13" i="23"/>
  <c r="AI13" i="23" s="1"/>
  <c r="AH59" i="23"/>
  <c r="AI59" i="23" s="1"/>
  <c r="AH81" i="23"/>
  <c r="AI81" i="23" s="1"/>
  <c r="AH65" i="23"/>
  <c r="AI65" i="23" s="1"/>
  <c r="AH66" i="23"/>
  <c r="AI66" i="23" s="1"/>
  <c r="AI40" i="23"/>
  <c r="AI33" i="23"/>
  <c r="AI17" i="23"/>
  <c r="AH58" i="23"/>
  <c r="AI58" i="23" s="1"/>
  <c r="AH67" i="23"/>
  <c r="AI67" i="23" s="1"/>
  <c r="AH62" i="23"/>
  <c r="AI62" i="23" s="1"/>
  <c r="AH61" i="23"/>
  <c r="AI61" i="23" s="1"/>
  <c r="AH55" i="23"/>
  <c r="AI55" i="23" s="1"/>
  <c r="AI45" i="23"/>
  <c r="AI31" i="23"/>
  <c r="AH15" i="23"/>
  <c r="AI15" i="23" s="1"/>
  <c r="AH63" i="23"/>
  <c r="AI63" i="23" s="1"/>
  <c r="AH60" i="23"/>
  <c r="AI60" i="23" s="1"/>
  <c r="AH80" i="23"/>
  <c r="AI80" i="23" s="1"/>
  <c r="AH90" i="23"/>
  <c r="AI90" i="23" s="1"/>
  <c r="AH51" i="23"/>
  <c r="AI51" i="23" s="1"/>
  <c r="AH12" i="23"/>
  <c r="AI12" i="23" s="1"/>
  <c r="AH11" i="23"/>
  <c r="AI11" i="23" s="1"/>
  <c r="AH9" i="23"/>
  <c r="AI9" i="23" s="1"/>
  <c r="AH86" i="23"/>
  <c r="AI86" i="23" s="1"/>
  <c r="AH64" i="23"/>
  <c r="AI64" i="23" s="1"/>
  <c r="AH54" i="23"/>
  <c r="AI54" i="23" s="1"/>
  <c r="AH8" i="23"/>
  <c r="AI8" i="23" s="1"/>
  <c r="AI91" i="23" l="1"/>
  <c r="L125" i="23" s="1"/>
  <c r="H3" i="25"/>
  <c r="F3" i="25"/>
  <c r="J3" i="25"/>
  <c r="L3" i="25"/>
  <c r="F13" i="25" l="1"/>
  <c r="F10" i="25"/>
  <c r="F14" i="25"/>
  <c r="F9" i="25"/>
  <c r="F7" i="25"/>
  <c r="N3" i="25"/>
  <c r="F15" i="25"/>
  <c r="F12" i="25"/>
  <c r="F16" i="25"/>
  <c r="F11" i="25"/>
  <c r="F8" i="25"/>
  <c r="F17" i="25"/>
  <c r="H15" i="25"/>
  <c r="H10" i="25"/>
  <c r="H14" i="25"/>
  <c r="H16" i="25"/>
  <c r="H12" i="25"/>
  <c r="H11" i="25"/>
  <c r="H17" i="25"/>
  <c r="H8" i="25"/>
  <c r="H7" i="25"/>
  <c r="H9" i="25"/>
  <c r="H13" i="25"/>
  <c r="L9" i="25"/>
  <c r="L14" i="25"/>
  <c r="L15" i="25"/>
  <c r="L10" i="25"/>
  <c r="L16" i="25"/>
  <c r="L8" i="25"/>
  <c r="L12" i="25"/>
  <c r="L17" i="25"/>
  <c r="L7" i="25"/>
  <c r="L11" i="25"/>
  <c r="L13" i="25"/>
  <c r="J14" i="25"/>
  <c r="J8" i="25"/>
  <c r="J15" i="25"/>
  <c r="J9" i="25"/>
  <c r="J10" i="25"/>
  <c r="J7" i="25"/>
  <c r="J12" i="25"/>
  <c r="J16" i="25"/>
  <c r="J17" i="25"/>
  <c r="J13" i="25"/>
  <c r="J11" i="25"/>
  <c r="L18" i="25" l="1"/>
  <c r="M17" i="25"/>
  <c r="M12" i="25"/>
  <c r="S12" i="25" s="1"/>
  <c r="T12" i="25" s="1"/>
  <c r="U12" i="25" s="1"/>
  <c r="M10" i="25"/>
  <c r="M8" i="25"/>
  <c r="M15" i="25"/>
  <c r="S15" i="25" s="1"/>
  <c r="T15" i="25" s="1"/>
  <c r="U15" i="25" s="1"/>
  <c r="M14" i="25"/>
  <c r="J18" i="25"/>
  <c r="M9" i="25"/>
  <c r="S9" i="25" s="1"/>
  <c r="T9" i="25" s="1"/>
  <c r="U9" i="25" s="1"/>
  <c r="M11" i="25"/>
  <c r="H18" i="25"/>
  <c r="M16" i="25"/>
  <c r="M7" i="25"/>
  <c r="F18" i="25"/>
  <c r="M13" i="25"/>
  <c r="S13" i="25" s="1"/>
  <c r="T13" i="25" s="1"/>
  <c r="U13" i="25" s="1"/>
  <c r="O7" i="25" l="1"/>
  <c r="S7" i="25"/>
  <c r="T7" i="25" s="1"/>
  <c r="U7" i="25" s="1"/>
  <c r="O8" i="25"/>
  <c r="Q8" i="25" s="1"/>
  <c r="Q18" i="25" s="1"/>
  <c r="R6" i="25" s="1"/>
  <c r="O17" i="25"/>
  <c r="S17" i="25"/>
  <c r="T17" i="25" s="1"/>
  <c r="U17" i="25" s="1"/>
  <c r="O16" i="25"/>
  <c r="R16" i="25" s="1"/>
  <c r="S16" i="25" s="1"/>
  <c r="T16" i="25" s="1"/>
  <c r="U16" i="25" s="1"/>
  <c r="O11" i="25"/>
  <c r="R11" i="25" s="1"/>
  <c r="S11" i="25" s="1"/>
  <c r="T11" i="25" s="1"/>
  <c r="U11" i="25" s="1"/>
  <c r="O15" i="25"/>
  <c r="M18" i="25"/>
  <c r="O9" i="25"/>
  <c r="O10" i="25"/>
  <c r="R10" i="25" s="1"/>
  <c r="O13" i="25"/>
  <c r="O14" i="25"/>
  <c r="R14" i="25" s="1"/>
  <c r="S14" i="25" s="1"/>
  <c r="T14" i="25" s="1"/>
  <c r="U14" i="25" s="1"/>
  <c r="O12" i="25"/>
  <c r="R22" i="25" l="1"/>
  <c r="R18" i="25"/>
  <c r="S10" i="25"/>
  <c r="T10" i="25" s="1"/>
  <c r="U10" i="25" s="1"/>
  <c r="S8" i="25"/>
  <c r="T8" i="25" s="1"/>
  <c r="O18" i="25"/>
  <c r="AJ5" i="23"/>
  <c r="AK26" i="23" l="1"/>
  <c r="AL26" i="23" s="1"/>
  <c r="AK81" i="23"/>
  <c r="AL81" i="23" s="1"/>
  <c r="AK18" i="23"/>
  <c r="AL18" i="23" s="1"/>
  <c r="AK56" i="23"/>
  <c r="AL56" i="23" s="1"/>
  <c r="AK63" i="23"/>
  <c r="AL63" i="23" s="1"/>
  <c r="AK78" i="23"/>
  <c r="AL78" i="23" s="1"/>
  <c r="AK15" i="23"/>
  <c r="AL15" i="23" s="1"/>
  <c r="AK77" i="23"/>
  <c r="AL77" i="23" s="1"/>
  <c r="AK14" i="23"/>
  <c r="AL14" i="23" s="1"/>
  <c r="AK35" i="23"/>
  <c r="AL35" i="23" s="1"/>
  <c r="AK12" i="23"/>
  <c r="AL12" i="23" s="1"/>
  <c r="AK19" i="23"/>
  <c r="AL19" i="23" s="1"/>
  <c r="AK73" i="23"/>
  <c r="AL73" i="23" s="1"/>
  <c r="AK10" i="23"/>
  <c r="AL10" i="23" s="1"/>
  <c r="AK48" i="23"/>
  <c r="AL48" i="23" s="1"/>
  <c r="AK55" i="23"/>
  <c r="AL55" i="23" s="1"/>
  <c r="AK70" i="23"/>
  <c r="AL70" i="23" s="1"/>
  <c r="AK69" i="23"/>
  <c r="AL69" i="23" s="1"/>
  <c r="AK6" i="23"/>
  <c r="AL6" i="23" s="1"/>
  <c r="AK27" i="23"/>
  <c r="AL27" i="23" s="1"/>
  <c r="AK68" i="23"/>
  <c r="AL68" i="23" s="1"/>
  <c r="AK11" i="23"/>
  <c r="AL11" i="23" s="1"/>
  <c r="AK65" i="23"/>
  <c r="AL65" i="23" s="1"/>
  <c r="AK76" i="23"/>
  <c r="AL76" i="23" s="1"/>
  <c r="AK40" i="23"/>
  <c r="AL40" i="23" s="1"/>
  <c r="AK47" i="23"/>
  <c r="AL47" i="23" s="1"/>
  <c r="AK62" i="23"/>
  <c r="AL62" i="23" s="1"/>
  <c r="AK61" i="23"/>
  <c r="AL61" i="23" s="1"/>
  <c r="AK60" i="23"/>
  <c r="AL60" i="23" s="1"/>
  <c r="AK83" i="23"/>
  <c r="AL83" i="23" s="1"/>
  <c r="AK20" i="23"/>
  <c r="AL20" i="23" s="1"/>
  <c r="AK28" i="23"/>
  <c r="AL28" i="23" s="1"/>
  <c r="AK57" i="23"/>
  <c r="AL57" i="23" s="1"/>
  <c r="AK52" i="23"/>
  <c r="AL52" i="23" s="1"/>
  <c r="AK32" i="23"/>
  <c r="AL32" i="23" s="1"/>
  <c r="AK39" i="23"/>
  <c r="AL39" i="23" s="1"/>
  <c r="AK54" i="23"/>
  <c r="AL54" i="23" s="1"/>
  <c r="AK53" i="23"/>
  <c r="AL53" i="23" s="1"/>
  <c r="AK36" i="23"/>
  <c r="AL36" i="23" s="1"/>
  <c r="AK75" i="23"/>
  <c r="AL75" i="23" s="1"/>
  <c r="AK89" i="23"/>
  <c r="AL89" i="23" s="1"/>
  <c r="AK49" i="23"/>
  <c r="AL49" i="23" s="1"/>
  <c r="AK82" i="23"/>
  <c r="AL82" i="23" s="1"/>
  <c r="AK87" i="23"/>
  <c r="AL87" i="23" s="1"/>
  <c r="AK24" i="23"/>
  <c r="AL24" i="23" s="1"/>
  <c r="AK31" i="23"/>
  <c r="AL31" i="23" s="1"/>
  <c r="AK46" i="23"/>
  <c r="AL46" i="23" s="1"/>
  <c r="AK45" i="23"/>
  <c r="AL45" i="23" s="1"/>
  <c r="AK21" i="23"/>
  <c r="AL21" i="23" s="1"/>
  <c r="AK67" i="23"/>
  <c r="AL67" i="23" s="1"/>
  <c r="AK25" i="23"/>
  <c r="AL25" i="23" s="1"/>
  <c r="AK34" i="23"/>
  <c r="AL34" i="23" s="1"/>
  <c r="AK71" i="23"/>
  <c r="AL71" i="23" s="1"/>
  <c r="AK84" i="23"/>
  <c r="AL84" i="23" s="1"/>
  <c r="AK43" i="23"/>
  <c r="AL43" i="23" s="1"/>
  <c r="AK74" i="23"/>
  <c r="AL74" i="23" s="1"/>
  <c r="AK41" i="23"/>
  <c r="AL41" i="23" s="1"/>
  <c r="AK66" i="23"/>
  <c r="AL66" i="23" s="1"/>
  <c r="AK80" i="23"/>
  <c r="AL80" i="23" s="1"/>
  <c r="AK17" i="23"/>
  <c r="AL17" i="23" s="1"/>
  <c r="AK86" i="23"/>
  <c r="AL86" i="23" s="1"/>
  <c r="AK16" i="23"/>
  <c r="AL16" i="23" s="1"/>
  <c r="AK38" i="23"/>
  <c r="AL38" i="23" s="1"/>
  <c r="AK37" i="23"/>
  <c r="AL37" i="23" s="1"/>
  <c r="AK13" i="23"/>
  <c r="AL13" i="23" s="1"/>
  <c r="AK59" i="23"/>
  <c r="AL59" i="23" s="1"/>
  <c r="AK88" i="23"/>
  <c r="AL88" i="23" s="1"/>
  <c r="AK64" i="23"/>
  <c r="AL64" i="23" s="1"/>
  <c r="AK85" i="23"/>
  <c r="AL85" i="23" s="1"/>
  <c r="AK22" i="23"/>
  <c r="AL22" i="23" s="1"/>
  <c r="AK7" i="23"/>
  <c r="AL7" i="23" s="1"/>
  <c r="AK90" i="23"/>
  <c r="AL90" i="23" s="1"/>
  <c r="AK58" i="23"/>
  <c r="AL58" i="23" s="1"/>
  <c r="AK33" i="23"/>
  <c r="AL33" i="23" s="1"/>
  <c r="AK50" i="23"/>
  <c r="AL50" i="23" s="1"/>
  <c r="AK72" i="23"/>
  <c r="AL72" i="23" s="1"/>
  <c r="AK9" i="23"/>
  <c r="AL9" i="23" s="1"/>
  <c r="AK79" i="23"/>
  <c r="AL79" i="23" s="1"/>
  <c r="AK8" i="23"/>
  <c r="AL8" i="23" s="1"/>
  <c r="AK30" i="23"/>
  <c r="AL30" i="23" s="1"/>
  <c r="AK29" i="23"/>
  <c r="AL29" i="23" s="1"/>
  <c r="AK51" i="23"/>
  <c r="AL51" i="23" s="1"/>
  <c r="AK42" i="23"/>
  <c r="AL42" i="23" s="1"/>
  <c r="AK44" i="23"/>
  <c r="AL44" i="23" s="1"/>
  <c r="AK23" i="23"/>
  <c r="AL23" i="23" s="1"/>
  <c r="S18" i="25"/>
  <c r="U8" i="25"/>
  <c r="U18" i="25" s="1"/>
  <c r="T18" i="25"/>
  <c r="AL91" i="23" l="1"/>
  <c r="L126" i="23" s="1"/>
  <c r="AE7" i="23"/>
  <c r="AF7" i="23" s="1"/>
  <c r="AO7" i="23" s="1"/>
  <c r="AV7" i="23" s="1"/>
  <c r="AQ7" i="23" s="1"/>
  <c r="AE69" i="23"/>
  <c r="AF69" i="23" s="1"/>
  <c r="AO69" i="23" s="1"/>
  <c r="AV69" i="23" s="1"/>
  <c r="AQ69" i="23" s="1"/>
  <c r="AE77" i="23"/>
  <c r="AF77" i="23" s="1"/>
  <c r="AO77" i="23" s="1"/>
  <c r="AV77" i="23" s="1"/>
  <c r="AQ77" i="23" s="1"/>
  <c r="AE70" i="23"/>
  <c r="AF70" i="23" s="1"/>
  <c r="AO70" i="23" s="1"/>
  <c r="AV70" i="23" s="1"/>
  <c r="AQ70" i="23" s="1"/>
  <c r="AE78" i="23"/>
  <c r="AF78" i="23" s="1"/>
  <c r="AO78" i="23" s="1"/>
  <c r="AV78" i="23" s="1"/>
  <c r="AQ78" i="23" s="1"/>
  <c r="AE71" i="23"/>
  <c r="AF71" i="23" s="1"/>
  <c r="AO71" i="23" s="1"/>
  <c r="AV71" i="23" s="1"/>
  <c r="AQ71" i="23" s="1"/>
  <c r="AE79" i="23"/>
  <c r="AF79" i="23" s="1"/>
  <c r="AO79" i="23" s="1"/>
  <c r="AE74" i="23"/>
  <c r="AF74" i="23" s="1"/>
  <c r="AO74" i="23" s="1"/>
  <c r="AV74" i="23" s="1"/>
  <c r="AQ74" i="23" s="1"/>
  <c r="AE72" i="23"/>
  <c r="AF72" i="23" s="1"/>
  <c r="AO72" i="23" s="1"/>
  <c r="AV72" i="23" s="1"/>
  <c r="AQ72" i="23" s="1"/>
  <c r="AE89" i="23"/>
  <c r="AF89" i="23" s="1"/>
  <c r="AO89" i="23" s="1"/>
  <c r="AV89" i="23" s="1"/>
  <c r="AE73" i="23"/>
  <c r="AF73" i="23" s="1"/>
  <c r="AO73" i="23" s="1"/>
  <c r="AV73" i="23" s="1"/>
  <c r="AQ73" i="23" s="1"/>
  <c r="AE84" i="23"/>
  <c r="AF84" i="23" s="1"/>
  <c r="AO84" i="23" s="1"/>
  <c r="AV84" i="23" s="1"/>
  <c r="AE85" i="23"/>
  <c r="AF85" i="23" s="1"/>
  <c r="AO85" i="23" s="1"/>
  <c r="AV85" i="23" s="1"/>
  <c r="AE75" i="23"/>
  <c r="AF75" i="23" s="1"/>
  <c r="AO75" i="23" s="1"/>
  <c r="AV75" i="23" s="1"/>
  <c r="AQ75" i="23" s="1"/>
  <c r="AE83" i="23"/>
  <c r="AF83" i="23" s="1"/>
  <c r="AO83" i="23" s="1"/>
  <c r="AV83" i="23" s="1"/>
  <c r="AE76" i="23"/>
  <c r="AF76" i="23" s="1"/>
  <c r="AO76" i="23" s="1"/>
  <c r="AV76" i="23" s="1"/>
  <c r="AQ76" i="23" s="1"/>
  <c r="AE8" i="23"/>
  <c r="AF8" i="23" s="1"/>
  <c r="AO8" i="23" s="1"/>
  <c r="AV8" i="23" s="1"/>
  <c r="AE10" i="23"/>
  <c r="AF10" i="23" s="1"/>
  <c r="AO10" i="23" s="1"/>
  <c r="AV10" i="23" s="1"/>
  <c r="AE12" i="23"/>
  <c r="AF12" i="23" s="1"/>
  <c r="AO12" i="23" s="1"/>
  <c r="AV12" i="23" s="1"/>
  <c r="AE6" i="23"/>
  <c r="AE9" i="23"/>
  <c r="AF9" i="23" s="1"/>
  <c r="AO9" i="23" s="1"/>
  <c r="AV9" i="23" s="1"/>
  <c r="AE11" i="23"/>
  <c r="AF11" i="23" s="1"/>
  <c r="AO11" i="23" s="1"/>
  <c r="AV11" i="23" s="1"/>
  <c r="AE13" i="23"/>
  <c r="AF13" i="23" s="1"/>
  <c r="AO13" i="23" s="1"/>
  <c r="AV13" i="23" s="1"/>
  <c r="AE15" i="23"/>
  <c r="AF15" i="23" s="1"/>
  <c r="AO15" i="23" s="1"/>
  <c r="AV15" i="23" s="1"/>
  <c r="AE17" i="23"/>
  <c r="AF17" i="23" s="1"/>
  <c r="AO17" i="23" s="1"/>
  <c r="AV17" i="23" s="1"/>
  <c r="AE19" i="23"/>
  <c r="AF19" i="23" s="1"/>
  <c r="AO19" i="23" s="1"/>
  <c r="AV19" i="23" s="1"/>
  <c r="AE21" i="23"/>
  <c r="AF21" i="23" s="1"/>
  <c r="AO21" i="23" s="1"/>
  <c r="AV21" i="23" s="1"/>
  <c r="AE23" i="23"/>
  <c r="AF23" i="23" s="1"/>
  <c r="AO23" i="23" s="1"/>
  <c r="AV23" i="23" s="1"/>
  <c r="AE24" i="23"/>
  <c r="AF24" i="23" s="1"/>
  <c r="AO24" i="23" s="1"/>
  <c r="AV24" i="23" s="1"/>
  <c r="AE26" i="23"/>
  <c r="AF26" i="23" s="1"/>
  <c r="AO26" i="23" s="1"/>
  <c r="AV26" i="23" s="1"/>
  <c r="AE28" i="23"/>
  <c r="AF28" i="23" s="1"/>
  <c r="AO28" i="23" s="1"/>
  <c r="AV28" i="23" s="1"/>
  <c r="AE30" i="23"/>
  <c r="AF30" i="23" s="1"/>
  <c r="AO30" i="23" s="1"/>
  <c r="AV30" i="23" s="1"/>
  <c r="AE32" i="23"/>
  <c r="AF32" i="23" s="1"/>
  <c r="AO32" i="23" s="1"/>
  <c r="AV32" i="23" s="1"/>
  <c r="AE34" i="23"/>
  <c r="AF34" i="23" s="1"/>
  <c r="AO34" i="23" s="1"/>
  <c r="AV34" i="23" s="1"/>
  <c r="AE37" i="23"/>
  <c r="AF37" i="23" s="1"/>
  <c r="AO37" i="23" s="1"/>
  <c r="AV37" i="23" s="1"/>
  <c r="AE39" i="23"/>
  <c r="AF39" i="23" s="1"/>
  <c r="AO39" i="23" s="1"/>
  <c r="AV39" i="23" s="1"/>
  <c r="AE41" i="23"/>
  <c r="AF41" i="23" s="1"/>
  <c r="AO41" i="23" s="1"/>
  <c r="AV41" i="23" s="1"/>
  <c r="AE43" i="23"/>
  <c r="AF43" i="23" s="1"/>
  <c r="AO43" i="23" s="1"/>
  <c r="AV43" i="23" s="1"/>
  <c r="AE45" i="23"/>
  <c r="AF45" i="23" s="1"/>
  <c r="AO45" i="23" s="1"/>
  <c r="AV45" i="23" s="1"/>
  <c r="AE47" i="23"/>
  <c r="AF47" i="23" s="1"/>
  <c r="AO47" i="23" s="1"/>
  <c r="AV47" i="23" s="1"/>
  <c r="AE22" i="23"/>
  <c r="AF22" i="23" s="1"/>
  <c r="AO22" i="23" s="1"/>
  <c r="AV22" i="23" s="1"/>
  <c r="AE38" i="23"/>
  <c r="AF38" i="23" s="1"/>
  <c r="AO38" i="23" s="1"/>
  <c r="AV38" i="23" s="1"/>
  <c r="AE46" i="23"/>
  <c r="AF46" i="23" s="1"/>
  <c r="AO46" i="23" s="1"/>
  <c r="AV46" i="23" s="1"/>
  <c r="AE57" i="23"/>
  <c r="AF57" i="23" s="1"/>
  <c r="AO57" i="23" s="1"/>
  <c r="AV57" i="23" s="1"/>
  <c r="AE59" i="23"/>
  <c r="AF59" i="23" s="1"/>
  <c r="AO59" i="23" s="1"/>
  <c r="AV59" i="23" s="1"/>
  <c r="AE61" i="23"/>
  <c r="AF61" i="23" s="1"/>
  <c r="AO61" i="23" s="1"/>
  <c r="AV61" i="23" s="1"/>
  <c r="AE63" i="23"/>
  <c r="AF63" i="23" s="1"/>
  <c r="AO63" i="23" s="1"/>
  <c r="AV63" i="23" s="1"/>
  <c r="AQ63" i="23" s="1"/>
  <c r="AE67" i="23"/>
  <c r="AF67" i="23" s="1"/>
  <c r="AO67" i="23" s="1"/>
  <c r="AV67" i="23" s="1"/>
  <c r="AQ67" i="23" s="1"/>
  <c r="AE68" i="23"/>
  <c r="AF68" i="23" s="1"/>
  <c r="AO68" i="23" s="1"/>
  <c r="AV68" i="23" s="1"/>
  <c r="AQ68" i="23" s="1"/>
  <c r="AE25" i="23"/>
  <c r="AF25" i="23" s="1"/>
  <c r="AO25" i="23" s="1"/>
  <c r="AV25" i="23" s="1"/>
  <c r="AE44" i="23"/>
  <c r="AF44" i="23" s="1"/>
  <c r="AO44" i="23" s="1"/>
  <c r="AV44" i="23" s="1"/>
  <c r="AE48" i="23"/>
  <c r="AF48" i="23" s="1"/>
  <c r="AO48" i="23" s="1"/>
  <c r="AV48" i="23" s="1"/>
  <c r="AE14" i="23"/>
  <c r="AF14" i="23" s="1"/>
  <c r="AO14" i="23" s="1"/>
  <c r="AV14" i="23" s="1"/>
  <c r="AE29" i="23"/>
  <c r="AF29" i="23" s="1"/>
  <c r="AO29" i="23" s="1"/>
  <c r="AV29" i="23" s="1"/>
  <c r="AE35" i="23"/>
  <c r="AF35" i="23" s="1"/>
  <c r="AO35" i="23" s="1"/>
  <c r="AV35" i="23" s="1"/>
  <c r="AE49" i="23"/>
  <c r="AF49" i="23" s="1"/>
  <c r="AO49" i="23" s="1"/>
  <c r="AV49" i="23" s="1"/>
  <c r="AE58" i="23"/>
  <c r="AF58" i="23" s="1"/>
  <c r="AO58" i="23" s="1"/>
  <c r="AV58" i="23" s="1"/>
  <c r="AE60" i="23"/>
  <c r="AF60" i="23" s="1"/>
  <c r="AO60" i="23" s="1"/>
  <c r="AV60" i="23" s="1"/>
  <c r="AE62" i="23"/>
  <c r="AF62" i="23" s="1"/>
  <c r="AO62" i="23" s="1"/>
  <c r="AV62" i="23" s="1"/>
  <c r="AQ62" i="23" s="1"/>
  <c r="AE64" i="23"/>
  <c r="AF64" i="23" s="1"/>
  <c r="AO64" i="23" s="1"/>
  <c r="AV64" i="23" s="1"/>
  <c r="AQ64" i="23" s="1"/>
  <c r="AE65" i="23"/>
  <c r="AF65" i="23" s="1"/>
  <c r="AO65" i="23" s="1"/>
  <c r="AV65" i="23" s="1"/>
  <c r="AQ65" i="23" s="1"/>
  <c r="AE66" i="23"/>
  <c r="AF66" i="23" s="1"/>
  <c r="AO66" i="23" s="1"/>
  <c r="AV66" i="23" s="1"/>
  <c r="AQ66" i="23" s="1"/>
  <c r="AE80" i="23"/>
  <c r="AF80" i="23" s="1"/>
  <c r="AO80" i="23" s="1"/>
  <c r="AV80" i="23" s="1"/>
  <c r="AQ80" i="23" s="1"/>
  <c r="AE36" i="23"/>
  <c r="AF36" i="23" s="1"/>
  <c r="AO36" i="23" s="1"/>
  <c r="AV36" i="23" s="1"/>
  <c r="AE52" i="23"/>
  <c r="AF52" i="23" s="1"/>
  <c r="AO52" i="23" s="1"/>
  <c r="AV52" i="23" s="1"/>
  <c r="AE54" i="23"/>
  <c r="AF54" i="23" s="1"/>
  <c r="AO54" i="23" s="1"/>
  <c r="AV54" i="23" s="1"/>
  <c r="AE56" i="23"/>
  <c r="AF56" i="23" s="1"/>
  <c r="AO56" i="23" s="1"/>
  <c r="AV56" i="23" s="1"/>
  <c r="AE18" i="23"/>
  <c r="AF18" i="23" s="1"/>
  <c r="AO18" i="23" s="1"/>
  <c r="AV18" i="23" s="1"/>
  <c r="AE33" i="23"/>
  <c r="AF33" i="23" s="1"/>
  <c r="AO33" i="23" s="1"/>
  <c r="AV33" i="23" s="1"/>
  <c r="AE42" i="23"/>
  <c r="AF42" i="23" s="1"/>
  <c r="AO42" i="23" s="1"/>
  <c r="AV42" i="23" s="1"/>
  <c r="AE51" i="23"/>
  <c r="AF51" i="23" s="1"/>
  <c r="AO51" i="23" s="1"/>
  <c r="AV51" i="23" s="1"/>
  <c r="AE53" i="23"/>
  <c r="AF53" i="23" s="1"/>
  <c r="AO53" i="23" s="1"/>
  <c r="AV53" i="23" s="1"/>
  <c r="AE55" i="23"/>
  <c r="AF55" i="23" s="1"/>
  <c r="AO55" i="23" s="1"/>
  <c r="AV55" i="23" s="1"/>
  <c r="AE81" i="23"/>
  <c r="AF81" i="23" s="1"/>
  <c r="AO81" i="23" s="1"/>
  <c r="AV81" i="23" s="1"/>
  <c r="AQ81" i="23" s="1"/>
  <c r="AE82" i="23"/>
  <c r="AF82" i="23" s="1"/>
  <c r="AO82" i="23" s="1"/>
  <c r="AV82" i="23" s="1"/>
  <c r="AE86" i="23"/>
  <c r="AF86" i="23" s="1"/>
  <c r="AO86" i="23" s="1"/>
  <c r="AV86" i="23" s="1"/>
  <c r="AE88" i="23"/>
  <c r="AF88" i="23" s="1"/>
  <c r="AO88" i="23" s="1"/>
  <c r="AV88" i="23" s="1"/>
  <c r="AE16" i="23"/>
  <c r="AF16" i="23" s="1"/>
  <c r="AO16" i="23" s="1"/>
  <c r="AV16" i="23" s="1"/>
  <c r="AE20" i="23"/>
  <c r="AF20" i="23" s="1"/>
  <c r="AO20" i="23" s="1"/>
  <c r="AV20" i="23" s="1"/>
  <c r="AE40" i="23"/>
  <c r="AF40" i="23" s="1"/>
  <c r="AO40" i="23" s="1"/>
  <c r="AV40" i="23" s="1"/>
  <c r="AE90" i="23"/>
  <c r="AF90" i="23" s="1"/>
  <c r="AO90" i="23" s="1"/>
  <c r="AV90" i="23" s="1"/>
  <c r="AE50" i="23"/>
  <c r="AF50" i="23" s="1"/>
  <c r="AO50" i="23" s="1"/>
  <c r="AV50" i="23" s="1"/>
  <c r="AE87" i="23"/>
  <c r="AF87" i="23" s="1"/>
  <c r="AO87" i="23" s="1"/>
  <c r="AV87" i="23" s="1"/>
  <c r="AE27" i="23"/>
  <c r="AF27" i="23" s="1"/>
  <c r="AO27" i="23" s="1"/>
  <c r="AV27" i="23" s="1"/>
  <c r="AE31" i="23"/>
  <c r="AF31" i="23" s="1"/>
  <c r="AO31" i="23" s="1"/>
  <c r="AV31" i="23" s="1"/>
  <c r="AQ83" i="23" l="1"/>
  <c r="AP83" i="23"/>
  <c r="AP88" i="23"/>
  <c r="AQ88" i="23"/>
  <c r="AQ87" i="23"/>
  <c r="AP87" i="23"/>
  <c r="AQ86" i="23"/>
  <c r="AP86" i="23"/>
  <c r="AQ85" i="23"/>
  <c r="AP85" i="23"/>
  <c r="AQ82" i="23"/>
  <c r="AP82" i="23"/>
  <c r="AP84" i="23"/>
  <c r="AQ84" i="23"/>
  <c r="AP90" i="23"/>
  <c r="AQ90" i="23"/>
  <c r="AQ89" i="23"/>
  <c r="AP89" i="23"/>
  <c r="AP74" i="23"/>
  <c r="AP76" i="23"/>
  <c r="AV79" i="23"/>
  <c r="AQ79" i="23" s="1"/>
  <c r="AP71" i="23"/>
  <c r="AP75" i="23"/>
  <c r="AP78" i="23"/>
  <c r="AP70" i="23"/>
  <c r="AP73" i="23"/>
  <c r="AP77" i="23"/>
  <c r="AP69" i="23"/>
  <c r="AP72" i="23"/>
  <c r="AF6" i="23"/>
  <c r="AF91" i="23" s="1"/>
  <c r="AE91" i="23"/>
  <c r="AQ56" i="23"/>
  <c r="AP56" i="23"/>
  <c r="AP67" i="23"/>
  <c r="AP7" i="23"/>
  <c r="AP58" i="23"/>
  <c r="AQ58" i="23"/>
  <c r="AP50" i="23"/>
  <c r="AQ50" i="23"/>
  <c r="AP65" i="23"/>
  <c r="AQ45" i="23"/>
  <c r="AP45" i="23"/>
  <c r="AP31" i="23"/>
  <c r="AQ31" i="23"/>
  <c r="AP55" i="23"/>
  <c r="AQ55" i="23"/>
  <c r="AP54" i="23"/>
  <c r="AQ54" i="23"/>
  <c r="AP64" i="23"/>
  <c r="AP48" i="23"/>
  <c r="AQ48" i="23"/>
  <c r="AQ61" i="23"/>
  <c r="AP61" i="23"/>
  <c r="AQ43" i="23"/>
  <c r="AP43" i="23"/>
  <c r="AQ28" i="23"/>
  <c r="AP28" i="23"/>
  <c r="AQ13" i="23"/>
  <c r="AP13" i="23"/>
  <c r="AP63" i="23"/>
  <c r="AQ15" i="23"/>
  <c r="AP15" i="23"/>
  <c r="AP40" i="23"/>
  <c r="AQ40" i="23"/>
  <c r="AP53" i="23"/>
  <c r="AQ53" i="23"/>
  <c r="AP52" i="23"/>
  <c r="AQ52" i="23"/>
  <c r="AP62" i="23"/>
  <c r="AP44" i="23"/>
  <c r="AQ44" i="23"/>
  <c r="AQ59" i="23"/>
  <c r="AP59" i="23"/>
  <c r="AQ41" i="23"/>
  <c r="AP41" i="23"/>
  <c r="AQ26" i="23"/>
  <c r="AP26" i="23"/>
  <c r="AQ11" i="23"/>
  <c r="AP11" i="23"/>
  <c r="AP33" i="23"/>
  <c r="AQ33" i="23"/>
  <c r="AP81" i="23"/>
  <c r="AP14" i="23"/>
  <c r="AQ14" i="23"/>
  <c r="AQ30" i="23"/>
  <c r="AP30" i="23"/>
  <c r="AP27" i="23"/>
  <c r="AQ27" i="23"/>
  <c r="AP20" i="23"/>
  <c r="AQ20" i="23"/>
  <c r="AP51" i="23"/>
  <c r="AQ51" i="23"/>
  <c r="AP36" i="23"/>
  <c r="AQ36" i="23"/>
  <c r="AP60" i="23"/>
  <c r="AQ60" i="23"/>
  <c r="AP25" i="23"/>
  <c r="AQ25" i="23"/>
  <c r="AQ57" i="23"/>
  <c r="AP57" i="23"/>
  <c r="AQ39" i="23"/>
  <c r="AP39" i="23"/>
  <c r="AQ24" i="23"/>
  <c r="AP24" i="23"/>
  <c r="AQ9" i="23"/>
  <c r="AP9" i="23"/>
  <c r="AP16" i="23"/>
  <c r="AQ16" i="23"/>
  <c r="AP68" i="23"/>
  <c r="AP46" i="23"/>
  <c r="AQ46" i="23"/>
  <c r="AQ37" i="23"/>
  <c r="AP37" i="23"/>
  <c r="AQ23" i="23"/>
  <c r="AP23" i="23"/>
  <c r="AP42" i="23"/>
  <c r="AQ42" i="23"/>
  <c r="AP80" i="23"/>
  <c r="AP49" i="23"/>
  <c r="AQ49" i="23"/>
  <c r="AP38" i="23"/>
  <c r="AQ38" i="23"/>
  <c r="AQ21" i="23"/>
  <c r="AP21" i="23"/>
  <c r="AP12" i="23"/>
  <c r="AQ12" i="23"/>
  <c r="AP35" i="23"/>
  <c r="AQ35" i="23"/>
  <c r="AP22" i="23"/>
  <c r="AQ22" i="23"/>
  <c r="AQ34" i="23"/>
  <c r="AP34" i="23"/>
  <c r="AQ19" i="23"/>
  <c r="AP19" i="23"/>
  <c r="AP10" i="23"/>
  <c r="AQ10" i="23"/>
  <c r="AP18" i="23"/>
  <c r="AQ18" i="23"/>
  <c r="AP66" i="23"/>
  <c r="AP29" i="23"/>
  <c r="AQ29" i="23"/>
  <c r="AP47" i="23"/>
  <c r="AQ47" i="23"/>
  <c r="AQ32" i="23"/>
  <c r="AP32" i="23"/>
  <c r="AQ17" i="23"/>
  <c r="AP17" i="23"/>
  <c r="AP8" i="23"/>
  <c r="AQ8" i="23"/>
  <c r="AP79" i="23" l="1"/>
  <c r="AO6" i="23"/>
  <c r="AV6" i="23" s="1"/>
  <c r="AO91" i="23" l="1"/>
  <c r="AQ6" i="23"/>
  <c r="AQ91" i="23" s="1"/>
  <c r="AP6" i="23"/>
  <c r="AP91" i="23" s="1"/>
  <c r="AR4" i="23" l="1"/>
  <c r="AR6" i="23" l="1"/>
  <c r="AR109" i="23"/>
  <c r="AS109" i="23" s="1"/>
  <c r="AT109" i="23" s="1"/>
  <c r="AR110" i="23"/>
  <c r="AS110" i="23" s="1"/>
  <c r="AT110" i="23" s="1"/>
  <c r="AR74" i="23"/>
  <c r="AS74" i="23" s="1"/>
  <c r="AT74" i="23" s="1"/>
  <c r="AR75" i="23"/>
  <c r="AS75" i="23" s="1"/>
  <c r="AT75" i="23" s="1"/>
  <c r="AR76" i="23"/>
  <c r="AS76" i="23" s="1"/>
  <c r="AT76" i="23" s="1"/>
  <c r="AR77" i="23"/>
  <c r="AS77" i="23" s="1"/>
  <c r="AT77" i="23" s="1"/>
  <c r="AR69" i="23"/>
  <c r="AS69" i="23" s="1"/>
  <c r="AT69" i="23" s="1"/>
  <c r="AR70" i="23"/>
  <c r="AS70" i="23" s="1"/>
  <c r="AT70" i="23" s="1"/>
  <c r="AR78" i="23"/>
  <c r="AS78" i="23" s="1"/>
  <c r="AT78" i="23" s="1"/>
  <c r="AR71" i="23"/>
  <c r="AS71" i="23" s="1"/>
  <c r="AT71" i="23" s="1"/>
  <c r="AR79" i="23"/>
  <c r="AS79" i="23" s="1"/>
  <c r="AT79" i="23" s="1"/>
  <c r="AR72" i="23"/>
  <c r="AS72" i="23" s="1"/>
  <c r="AT72" i="23" s="1"/>
  <c r="AR73" i="23"/>
  <c r="AS73" i="23" s="1"/>
  <c r="AT73" i="23" s="1"/>
  <c r="AR89" i="23"/>
  <c r="AS89" i="23" s="1"/>
  <c r="AT89" i="23" s="1"/>
  <c r="AR84" i="23"/>
  <c r="AS84" i="23" s="1"/>
  <c r="AT84" i="23" s="1"/>
  <c r="AR85" i="23"/>
  <c r="AS85" i="23" s="1"/>
  <c r="AT85" i="23" s="1"/>
  <c r="AR83" i="23"/>
  <c r="AS83" i="23" s="1"/>
  <c r="AT83" i="23" s="1"/>
  <c r="AR7" i="23"/>
  <c r="AS7" i="23" s="1"/>
  <c r="AT7" i="23" s="1"/>
  <c r="AR9" i="23"/>
  <c r="AS9" i="23" s="1"/>
  <c r="AT9" i="23" s="1"/>
  <c r="AR11" i="23"/>
  <c r="AS11" i="23" s="1"/>
  <c r="AT11" i="23" s="1"/>
  <c r="AR13" i="23"/>
  <c r="AS13" i="23" s="1"/>
  <c r="AT13" i="23" s="1"/>
  <c r="AR15" i="23"/>
  <c r="AS15" i="23" s="1"/>
  <c r="AT15" i="23" s="1"/>
  <c r="AR17" i="23"/>
  <c r="AS17" i="23" s="1"/>
  <c r="AT17" i="23" s="1"/>
  <c r="AR19" i="23"/>
  <c r="AS19" i="23" s="1"/>
  <c r="AT19" i="23" s="1"/>
  <c r="AR21" i="23"/>
  <c r="AS21" i="23" s="1"/>
  <c r="AT21" i="23" s="1"/>
  <c r="AR23" i="23"/>
  <c r="AS23" i="23" s="1"/>
  <c r="AT23" i="23" s="1"/>
  <c r="AR24" i="23"/>
  <c r="AS24" i="23" s="1"/>
  <c r="AT24" i="23" s="1"/>
  <c r="AR26" i="23"/>
  <c r="AS26" i="23" s="1"/>
  <c r="AT26" i="23" s="1"/>
  <c r="AR28" i="23"/>
  <c r="AS28" i="23" s="1"/>
  <c r="AT28" i="23" s="1"/>
  <c r="AR30" i="23"/>
  <c r="AS30" i="23" s="1"/>
  <c r="AT30" i="23" s="1"/>
  <c r="AR32" i="23"/>
  <c r="AS32" i="23" s="1"/>
  <c r="AT32" i="23" s="1"/>
  <c r="AR34" i="23"/>
  <c r="AS34" i="23" s="1"/>
  <c r="AT34" i="23" s="1"/>
  <c r="AR8" i="23"/>
  <c r="AS8" i="23" s="1"/>
  <c r="AT8" i="23" s="1"/>
  <c r="AR10" i="23"/>
  <c r="AS10" i="23" s="1"/>
  <c r="AT10" i="23" s="1"/>
  <c r="AR12" i="23"/>
  <c r="AS12" i="23" s="1"/>
  <c r="AT12" i="23" s="1"/>
  <c r="AR14" i="23"/>
  <c r="AS14" i="23" s="1"/>
  <c r="AT14" i="23" s="1"/>
  <c r="AR16" i="23"/>
  <c r="AS16" i="23" s="1"/>
  <c r="AT16" i="23" s="1"/>
  <c r="AR18" i="23"/>
  <c r="AS18" i="23" s="1"/>
  <c r="AT18" i="23" s="1"/>
  <c r="AR20" i="23"/>
  <c r="AS20" i="23" s="1"/>
  <c r="AT20" i="23" s="1"/>
  <c r="AR22" i="23"/>
  <c r="AS22" i="23" s="1"/>
  <c r="AT22" i="23" s="1"/>
  <c r="AR25" i="23"/>
  <c r="AS25" i="23" s="1"/>
  <c r="AT25" i="23" s="1"/>
  <c r="AR27" i="23"/>
  <c r="AS27" i="23" s="1"/>
  <c r="AT27" i="23" s="1"/>
  <c r="AR29" i="23"/>
  <c r="AS29" i="23" s="1"/>
  <c r="AT29" i="23" s="1"/>
  <c r="AR31" i="23"/>
  <c r="AS31" i="23" s="1"/>
  <c r="AT31" i="23" s="1"/>
  <c r="AR33" i="23"/>
  <c r="AS33" i="23" s="1"/>
  <c r="AT33" i="23" s="1"/>
  <c r="AR45" i="23"/>
  <c r="AS45" i="23" s="1"/>
  <c r="AT45" i="23" s="1"/>
  <c r="AR46" i="23"/>
  <c r="AS46" i="23" s="1"/>
  <c r="AT46" i="23" s="1"/>
  <c r="AR50" i="23"/>
  <c r="AS50" i="23" s="1"/>
  <c r="AT50" i="23" s="1"/>
  <c r="AR52" i="23"/>
  <c r="AS52" i="23" s="1"/>
  <c r="AT52" i="23" s="1"/>
  <c r="AR54" i="23"/>
  <c r="AS54" i="23" s="1"/>
  <c r="AT54" i="23" s="1"/>
  <c r="AR56" i="23"/>
  <c r="AS56" i="23" s="1"/>
  <c r="AT56" i="23" s="1"/>
  <c r="AR43" i="23"/>
  <c r="AS43" i="23" s="1"/>
  <c r="AT43" i="23" s="1"/>
  <c r="AR47" i="23"/>
  <c r="AS47" i="23" s="1"/>
  <c r="AT47" i="23" s="1"/>
  <c r="AR39" i="23"/>
  <c r="AS39" i="23" s="1"/>
  <c r="AT39" i="23" s="1"/>
  <c r="AR42" i="23"/>
  <c r="AS42" i="23" s="1"/>
  <c r="AT42" i="23" s="1"/>
  <c r="AR51" i="23"/>
  <c r="AS51" i="23" s="1"/>
  <c r="AT51" i="23" s="1"/>
  <c r="AR53" i="23"/>
  <c r="AS53" i="23" s="1"/>
  <c r="AT53" i="23" s="1"/>
  <c r="AR55" i="23"/>
  <c r="AS55" i="23" s="1"/>
  <c r="AT55" i="23" s="1"/>
  <c r="AR38" i="23"/>
  <c r="AS38" i="23" s="1"/>
  <c r="AT38" i="23" s="1"/>
  <c r="AR57" i="23"/>
  <c r="AS57" i="23" s="1"/>
  <c r="AT57" i="23" s="1"/>
  <c r="AR62" i="23"/>
  <c r="AS62" i="23" s="1"/>
  <c r="AT62" i="23" s="1"/>
  <c r="AR90" i="23"/>
  <c r="AS90" i="23" s="1"/>
  <c r="AT90" i="23" s="1"/>
  <c r="AR41" i="23"/>
  <c r="AS41" i="23" s="1"/>
  <c r="AT41" i="23" s="1"/>
  <c r="AR58" i="23"/>
  <c r="AS58" i="23" s="1"/>
  <c r="AT58" i="23" s="1"/>
  <c r="AR68" i="23"/>
  <c r="AS68" i="23" s="1"/>
  <c r="AT68" i="23" s="1"/>
  <c r="AR80" i="23"/>
  <c r="AS80" i="23" s="1"/>
  <c r="AT80" i="23" s="1"/>
  <c r="AR36" i="23"/>
  <c r="AS36" i="23" s="1"/>
  <c r="AT36" i="23" s="1"/>
  <c r="AR44" i="23"/>
  <c r="AS44" i="23" s="1"/>
  <c r="AT44" i="23" s="1"/>
  <c r="AR48" i="23"/>
  <c r="AS48" i="23" s="1"/>
  <c r="AT48" i="23" s="1"/>
  <c r="AR63" i="23"/>
  <c r="AS63" i="23" s="1"/>
  <c r="AT63" i="23" s="1"/>
  <c r="AR67" i="23"/>
  <c r="AS67" i="23" s="1"/>
  <c r="AT67" i="23" s="1"/>
  <c r="AR81" i="23"/>
  <c r="AS81" i="23" s="1"/>
  <c r="AT81" i="23" s="1"/>
  <c r="AR82" i="23"/>
  <c r="AS82" i="23" s="1"/>
  <c r="AT82" i="23" s="1"/>
  <c r="AR86" i="23"/>
  <c r="AS86" i="23" s="1"/>
  <c r="AT86" i="23" s="1"/>
  <c r="AR88" i="23"/>
  <c r="AS88" i="23" s="1"/>
  <c r="AT88" i="23" s="1"/>
  <c r="AR37" i="23"/>
  <c r="AS37" i="23" s="1"/>
  <c r="AT37" i="23" s="1"/>
  <c r="AR61" i="23"/>
  <c r="AS61" i="23" s="1"/>
  <c r="AT61" i="23" s="1"/>
  <c r="AR65" i="23"/>
  <c r="AS65" i="23" s="1"/>
  <c r="AT65" i="23" s="1"/>
  <c r="AR66" i="23"/>
  <c r="AS66" i="23" s="1"/>
  <c r="AT66" i="23" s="1"/>
  <c r="AR40" i="23"/>
  <c r="AS40" i="23" s="1"/>
  <c r="AT40" i="23" s="1"/>
  <c r="AR59" i="23"/>
  <c r="AS59" i="23" s="1"/>
  <c r="AT59" i="23" s="1"/>
  <c r="AR60" i="23"/>
  <c r="AS60" i="23" s="1"/>
  <c r="AT60" i="23" s="1"/>
  <c r="AR87" i="23"/>
  <c r="AS87" i="23" s="1"/>
  <c r="AT87" i="23" s="1"/>
  <c r="AR35" i="23"/>
  <c r="AS35" i="23" s="1"/>
  <c r="AT35" i="23" s="1"/>
  <c r="AR49" i="23"/>
  <c r="AS49" i="23" s="1"/>
  <c r="AT49" i="23" s="1"/>
  <c r="AR64" i="23"/>
  <c r="AS64" i="23" s="1"/>
  <c r="AT64" i="23" s="1"/>
  <c r="AR91" i="23" l="1"/>
  <c r="AS6" i="23"/>
  <c r="AS91" i="23" l="1"/>
  <c r="AT6" i="23"/>
  <c r="AT91" i="23" l="1"/>
  <c r="L127" i="23" s="1"/>
  <c r="L121" i="23" s="1"/>
</calcChain>
</file>

<file path=xl/comments1.xml><?xml version="1.0" encoding="utf-8"?>
<comments xmlns="http://schemas.openxmlformats.org/spreadsheetml/2006/main">
  <authors>
    <author>Koky Martin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  <charset val="238"/>
          </rPr>
          <t>Koky Martin:</t>
        </r>
        <r>
          <rPr>
            <sz val="9"/>
            <color indexed="81"/>
            <rFont val="Tahoma"/>
            <family val="2"/>
            <charset val="238"/>
          </rPr>
          <t xml:space="preserve">
Nesplňují podmínku CZ_NACE</t>
        </r>
      </text>
    </comment>
  </commentList>
</comments>
</file>

<file path=xl/sharedStrings.xml><?xml version="1.0" encoding="utf-8"?>
<sst xmlns="http://schemas.openxmlformats.org/spreadsheetml/2006/main" count="1312" uniqueCount="828">
  <si>
    <t>Střešní organizace/ost.</t>
  </si>
  <si>
    <t>celkem</t>
  </si>
  <si>
    <t>Výdaje (Náklady)</t>
  </si>
  <si>
    <t>Součet  bodů (přepočet členů pomocí koeficientů)</t>
  </si>
  <si>
    <t>celkem Kč</t>
  </si>
  <si>
    <t>60 % rozpočtovaných výdajů (nákladů) - max. výše dotace</t>
  </si>
  <si>
    <t>Ostatní</t>
  </si>
  <si>
    <t>Finanční hodnota bodu v Kč  (členové)</t>
  </si>
  <si>
    <t>Členská základna</t>
  </si>
  <si>
    <t>Trenéři</t>
  </si>
  <si>
    <t>Členské příspěvky</t>
  </si>
  <si>
    <t>Počet bodů (počet trenérský licencí)</t>
  </si>
  <si>
    <t>Finanční hodnota bodu v Kč (trenéři)</t>
  </si>
  <si>
    <t>strop 60 %</t>
  </si>
  <si>
    <t>celkem mimo soutěž</t>
  </si>
  <si>
    <t xml:space="preserve">celkem </t>
  </si>
  <si>
    <t>zapojených v soutěžích</t>
  </si>
  <si>
    <t>nezapojených v soutěžích</t>
  </si>
  <si>
    <t>ČLENOVÉ - přepočet</t>
  </si>
  <si>
    <t>TRENÉŘI - přepočet</t>
  </si>
  <si>
    <t>celkem v soutěži</t>
  </si>
  <si>
    <t xml:space="preserve"> s licencí (koef. 1)</t>
  </si>
  <si>
    <t>bez licence (koef. 0)</t>
  </si>
  <si>
    <t>MINIMÁLNÍ (ZÁKLADNÍ) DOTACE (mimo střešní organizace)</t>
  </si>
  <si>
    <t xml:space="preserve">DOTACE PRO STŘEŠNÍ ORGANIZACI </t>
  </si>
  <si>
    <t>STŘEŠNÍ ORGANIZACE</t>
  </si>
  <si>
    <t>celkem členská základna           (součet)</t>
  </si>
  <si>
    <t>celoroční činnost</t>
  </si>
  <si>
    <t>Součet bodů (přepočet pomocí koeficientů)</t>
  </si>
  <si>
    <t>Finanční hodnota bodu v Kč (děti a mládež)</t>
  </si>
  <si>
    <t>Regionální sdružení Česká unie sportu Opava</t>
  </si>
  <si>
    <t>SHČMS</t>
  </si>
  <si>
    <t xml:space="preserve">Přepočet dílčí dotace (členové) </t>
  </si>
  <si>
    <t xml:space="preserve">vybrané členské příspěvky                </t>
  </si>
  <si>
    <t>sportovní akce</t>
  </si>
  <si>
    <t>Soulad s účelem programu
0-50 bodů</t>
  </si>
  <si>
    <t>Hospodárnost a efektivita vynakládaných finančních prostředků
0-50 bodů</t>
  </si>
  <si>
    <t>ČSS, z.s. - sportovně střelecký klub Ostroj Opava</t>
  </si>
  <si>
    <t>08395918</t>
  </si>
  <si>
    <t>Účast na Mistrovství světa v mažoretkovém sportu</t>
  </si>
  <si>
    <t>Účast na Mistrovství Evropy v mažoretkovém sportu</t>
  </si>
  <si>
    <t>05100437</t>
  </si>
  <si>
    <t>Mountaintime team Opava, z.s.</t>
  </si>
  <si>
    <t>01453106</t>
  </si>
  <si>
    <t>Sportovní klub tělesně postižených Opava, z.s.</t>
  </si>
  <si>
    <t>Volejbalový klub Kylešovice, z.s.</t>
  </si>
  <si>
    <t>Fotbalový klub NOVA Vávrovice, z.s.</t>
  </si>
  <si>
    <t>Středoškolský sportovní klub MSŠZ Opava, z.s.</t>
  </si>
  <si>
    <t>Street Hockey Club Opava, z.s.</t>
  </si>
  <si>
    <t>Amatérský fotbalový klub Medvědi Malé Hoštice, z.s.</t>
  </si>
  <si>
    <t>FIT Sports Club, z.s.</t>
  </si>
  <si>
    <t>Silesia AK Squash club Opava, z.s.</t>
  </si>
  <si>
    <t>00436062</t>
  </si>
  <si>
    <t>Regionální sdružení České unie sportu v Opavě, z.s.</t>
  </si>
  <si>
    <t>02395479</t>
  </si>
  <si>
    <t>BěhOpava - spolek</t>
  </si>
  <si>
    <t>Tělovýchovná jednota Sokol Opava - Kateřinky, z.s.</t>
  </si>
  <si>
    <t>Sportovní klub FERRAM Opava, z.s.</t>
  </si>
  <si>
    <t>Sportovní klub rekreačního stolního tenisu Opava, z.s.</t>
  </si>
  <si>
    <t>Orientační Běh Opava, z.s.</t>
  </si>
  <si>
    <t>Sportovní klub TRANSA Opava, z.s.</t>
  </si>
  <si>
    <t>03757218</t>
  </si>
  <si>
    <t>Sportovní klub hasiči Opava, z.s.</t>
  </si>
  <si>
    <t>Tělovýchovná jednota Palhanec, z.s.</t>
  </si>
  <si>
    <t>Sportovní klub VALDI Opava, z.s.</t>
  </si>
  <si>
    <t>Bowlingový klub Opava, z.s.</t>
  </si>
  <si>
    <t>Horolezecký klub Opava, z.s.</t>
  </si>
  <si>
    <t>SK KOLIBA Opava, z.s.</t>
  </si>
  <si>
    <t>01510843</t>
  </si>
  <si>
    <t>Horolezecký klub Atlas Opava, z.s.</t>
  </si>
  <si>
    <t>02273471</t>
  </si>
  <si>
    <t>Sportovní klub Badminton Boreček Opava, z.s.</t>
  </si>
  <si>
    <t>Sportovní klub HIT Opava, z.s.</t>
  </si>
  <si>
    <t>Házej jako Bára - soutěž v hodu do dálky s Bárou Špotákovou</t>
  </si>
  <si>
    <t>Sportovní klub ZŠ Vrchní Opava, z.s.</t>
  </si>
  <si>
    <t>6. ročník lyžařských závodů základních škol okresu Opava</t>
  </si>
  <si>
    <t>Univerzitní sportovní klub Slezské univerzity v Opavě, z.s.</t>
  </si>
  <si>
    <t>Jezdecký klub STEALLY Opava, z.s.</t>
  </si>
  <si>
    <t>Sportovní klub PRESTAR Opava, z.s.</t>
  </si>
  <si>
    <t>AB Squash klub, z.s.</t>
  </si>
  <si>
    <t>Thai box Opava, z.s.</t>
  </si>
  <si>
    <t>Sportovní klub Sport pro všechny Opava, z.s.</t>
  </si>
  <si>
    <t>Fotbalový klub Kylešovice, z.s.</t>
  </si>
  <si>
    <t>Basketbalový klub Trefa Opava, z.s.</t>
  </si>
  <si>
    <t>Sportovní gymnastika dětí Špičková - Opava, z.s.</t>
  </si>
  <si>
    <t>Sportovní klub SIPA SPORT Opava, z.s.</t>
  </si>
  <si>
    <t>Sportovní klub PEPA Centrum Opava, z.s.</t>
  </si>
  <si>
    <t>Tělovýchovná jednota Suché Lazce, z.s.</t>
  </si>
  <si>
    <t>Tělovýchovná jednota Slavia Malé Hoštice, z.s.</t>
  </si>
  <si>
    <t>00495948</t>
  </si>
  <si>
    <t>Tělovýchovná jednota Opava, z.s.</t>
  </si>
  <si>
    <t>z toho v soutěži do 5 let (koef. 0)</t>
  </si>
  <si>
    <t>z toho           v soutěži od 24 let (koef. 0,5)</t>
  </si>
  <si>
    <t>z toho v soutěži 6 - 23 let (koef. 1)</t>
  </si>
  <si>
    <t>mimo soutěž         6 - 23 let (koef. 0,3)</t>
  </si>
  <si>
    <t>mimo soutěž od 24 let (koef. 0)</t>
  </si>
  <si>
    <t>DĚTI A MLÁDEŽ (6-23 let) - přepočet</t>
  </si>
  <si>
    <t>Sportovní klub Sympatic Opava, z.s.</t>
  </si>
  <si>
    <t>Tělovýchovná jednota Sokol Opava - Jaktař, z.s.</t>
  </si>
  <si>
    <t>Happy Sport Opava, z.s.</t>
  </si>
  <si>
    <t>HC BIJCI Opava, z.s.</t>
  </si>
  <si>
    <t>Klub zrakově postižených sportovců Opava, z.s.</t>
  </si>
  <si>
    <t>Sportovní klub Rodina v pohybu Opava, z.s.</t>
  </si>
  <si>
    <t>Sportovní klub Komárov, z.s.</t>
  </si>
  <si>
    <t>Školní sportovní klub OŤAS Opava, z.s.</t>
  </si>
  <si>
    <t>03745309</t>
  </si>
  <si>
    <t>LUIGINO.cz, z.s.</t>
  </si>
  <si>
    <t>Tělovýchovná jednota Milostovice, z.s.</t>
  </si>
  <si>
    <t>Sportovní klub JANTAR Opava, z.s.</t>
  </si>
  <si>
    <t>00536105</t>
  </si>
  <si>
    <t>Kánoe klub Opava, z.s.</t>
  </si>
  <si>
    <t>Tenisový klub Minerva Opava, z.s.</t>
  </si>
  <si>
    <t>SPORT CLUB Opava, z.s.</t>
  </si>
  <si>
    <t>HC Draci Opava, z.s.</t>
  </si>
  <si>
    <t>SK JC Sport Opava, z.s.</t>
  </si>
  <si>
    <t>Tělovýchovná jednota Sokol Zlatníky, z.s.</t>
  </si>
  <si>
    <t>Sportovní klub ZŠ Englišova Opava, z.s.</t>
  </si>
  <si>
    <t>Tenisový klub Opava, z.s.</t>
  </si>
  <si>
    <t>Klub plaveckých sportů Opava, z.s.</t>
  </si>
  <si>
    <t>HEAD BIKE Opava, z.s.</t>
  </si>
  <si>
    <t>Sportovní klub rekreačního volejbalu Opava, z.s.</t>
  </si>
  <si>
    <t>05177375</t>
  </si>
  <si>
    <t>Sportovní klub Podvihov, z.s.</t>
  </si>
  <si>
    <t>SH ČMS - Sbor dobrovolných hasičů Milostovice</t>
  </si>
  <si>
    <t>SH ČMS - Sbor dobrovolných hasičů Kylešovice</t>
  </si>
  <si>
    <t>SH ČMS - Okresní sdružení hasičů Opava</t>
  </si>
  <si>
    <t>SH ČMS - Sbor dobrovolných hasičů Zlatníky</t>
  </si>
  <si>
    <t>Fotbalový klub SLAVIA OPAVA, z.s.</t>
  </si>
  <si>
    <t>SILESIA kros 1/2 marathon</t>
  </si>
  <si>
    <t>SILESIA bike marathon</t>
  </si>
  <si>
    <t>01897292</t>
  </si>
  <si>
    <t>03962237</t>
  </si>
  <si>
    <t>Opavský sportovní klub, z.s.</t>
  </si>
  <si>
    <t>S.K. P.E.M.A. OPAVA, z.s.</t>
  </si>
  <si>
    <t>DTJ1</t>
  </si>
  <si>
    <t>DTJ2</t>
  </si>
  <si>
    <t>DTJ3</t>
  </si>
  <si>
    <t>DTJ5</t>
  </si>
  <si>
    <t xml:space="preserve">Rozdělení zůstatku na členy            (překročení stropu 60 % výdajů)                  </t>
  </si>
  <si>
    <t>Členové - přepočet členů pomocí koeficientu (W) bez organizací, které překročili strop 60% rozp. výdajů pro rozdělení zůstatku</t>
  </si>
  <si>
    <t>vybrané subjekty - základní část PP, nástavbová část PP</t>
  </si>
  <si>
    <t>k rozdělení</t>
  </si>
  <si>
    <t>rozděleno</t>
  </si>
  <si>
    <t>zůstatek</t>
  </si>
  <si>
    <t>Mezisoučet dotací - ZÁKLAD  (členové + děti + trenéři + základní dotace)</t>
  </si>
  <si>
    <t>CELKEM DOTACE S1+S3                       PO PŘEPOČTU</t>
  </si>
  <si>
    <t>40% z celkové částky</t>
  </si>
  <si>
    <t>10% z celkové částky</t>
  </si>
  <si>
    <t>STROP</t>
  </si>
  <si>
    <t>Počet členů zapojených v soutěžích</t>
  </si>
  <si>
    <t>Částka dle počtu členů zapojených v soutěžích</t>
  </si>
  <si>
    <t>Počet trenérů s licencí</t>
  </si>
  <si>
    <t>Částka dle trenérů s licencí</t>
  </si>
  <si>
    <t>Částka dle výše nákladů</t>
  </si>
  <si>
    <t>Výše členských příspěvků</t>
  </si>
  <si>
    <t>Částka dle členských příspěvků</t>
  </si>
  <si>
    <t>Dotace S3</t>
  </si>
  <si>
    <t>Dotace S1+S3</t>
  </si>
  <si>
    <t>Dotace S1</t>
  </si>
  <si>
    <t>TJ Slezan Opava, z.s.,</t>
  </si>
  <si>
    <t>TcJ Sokol Opava</t>
  </si>
  <si>
    <t>FK Slavia Opava</t>
  </si>
  <si>
    <t>Kánoe klub Opava</t>
  </si>
  <si>
    <t>Jezdecký klub Opava - Kateřinky</t>
  </si>
  <si>
    <t>Orientační Běh Opava</t>
  </si>
  <si>
    <t>Sportovní klub p.e.m.a</t>
  </si>
  <si>
    <t xml:space="preserve">Data </t>
  </si>
  <si>
    <t>Happy Sport Opava</t>
  </si>
  <si>
    <t>LUIGINO.cz</t>
  </si>
  <si>
    <t>SK JC Sport Opava</t>
  </si>
  <si>
    <t>HEAD BIKE Opava</t>
  </si>
  <si>
    <t>CELKEM DOTACE S1 + S3                                     PO ZAOKROUHLENÍ</t>
  </si>
  <si>
    <t>Subjekty zařazené do S3</t>
  </si>
  <si>
    <t>CELKEM PROGRAM SPORT 2022</t>
  </si>
  <si>
    <t>S 1/22</t>
  </si>
  <si>
    <t>S 2/22</t>
  </si>
  <si>
    <t>S 3/22</t>
  </si>
  <si>
    <t>Číslo projektu</t>
  </si>
  <si>
    <t>Název</t>
  </si>
  <si>
    <t>Žadatel</t>
  </si>
  <si>
    <t>Právní forma žadatele</t>
  </si>
  <si>
    <t>Identifikační číslo žadatele</t>
  </si>
  <si>
    <t>Adresa žadatele</t>
  </si>
  <si>
    <t>Kontaktní osoba</t>
  </si>
  <si>
    <t>E-mailová adresa kontaktní osoby</t>
  </si>
  <si>
    <t>Požadovaná částka</t>
  </si>
  <si>
    <t>Celková částka</t>
  </si>
  <si>
    <t>2022-S2-001</t>
  </si>
  <si>
    <t>Střelecké závody</t>
  </si>
  <si>
    <t>Pobočný spolek</t>
  </si>
  <si>
    <t>Chelčického 981/40, Opava, Kateřinky, 74705</t>
  </si>
  <si>
    <t>Krečmerová, Pavlína</t>
  </si>
  <si>
    <t>krecmerovi@seznam.cz</t>
  </si>
  <si>
    <t>2022-S2-002</t>
  </si>
  <si>
    <t>Střelecký závod Opavský ležák a standard a přebor MSK</t>
  </si>
  <si>
    <t>2022-S2-003</t>
  </si>
  <si>
    <t>ThaiBox - jaro 2022</t>
  </si>
  <si>
    <t>Spolek</t>
  </si>
  <si>
    <t>Na Starém břehu 2756/7, Opava, Jaktař (část), 74601</t>
  </si>
  <si>
    <t>Kurka, Josef</t>
  </si>
  <si>
    <t>djusu@djusu.cz</t>
  </si>
  <si>
    <t>2022-S2-004</t>
  </si>
  <si>
    <t>ThaiBox - podzim 2022</t>
  </si>
  <si>
    <t>2022-S2-005</t>
  </si>
  <si>
    <t>Mažoretková skupina BANIMO Opava, z. s.</t>
  </si>
  <si>
    <t>U Lučního mlýna 1045/14, Opava, Kateřinky, 74705</t>
  </si>
  <si>
    <t>Zavadilová, Alžběta</t>
  </si>
  <si>
    <t>alzbetaz@seznam.cz</t>
  </si>
  <si>
    <t>2022-S2-006</t>
  </si>
  <si>
    <t>2022-S2-007</t>
  </si>
  <si>
    <t>Závody Moravské ligy BMX 2022</t>
  </si>
  <si>
    <t>Jaselská 2754/20, Opava, Jaktař (část), 74707</t>
  </si>
  <si>
    <t>Složil, Jiří</t>
  </si>
  <si>
    <t>jiri@slozil.com</t>
  </si>
  <si>
    <t>2022-S2-008</t>
  </si>
  <si>
    <t>Závody Českého poháru BMX 2022</t>
  </si>
  <si>
    <t>2022-S2-009</t>
  </si>
  <si>
    <t>City Trail Opava 2022</t>
  </si>
  <si>
    <t>"Sportovní kurzy.cz, s.k."</t>
  </si>
  <si>
    <t>Lidická 620/9, Opava, Jaktař (část), 74601</t>
  </si>
  <si>
    <t>2022-S2-010</t>
  </si>
  <si>
    <t>Ultimo Silesia Tour 2022 - Opava powered by Latitude 64°</t>
  </si>
  <si>
    <t>DGC Silesians Krnov z.s.</t>
  </si>
  <si>
    <t>08180407</t>
  </si>
  <si>
    <t>Jesenická 2017/21, Krnov, Pod Bezručovým vrchem, 79401</t>
  </si>
  <si>
    <t>2022-S2-011</t>
  </si>
  <si>
    <t>Kilpi Heroes Race 2022</t>
  </si>
  <si>
    <t>Spolek Hrdinové</t>
  </si>
  <si>
    <t>03620221</t>
  </si>
  <si>
    <t>Krnovská 53/22, Opava, Jaktař (část), 74601</t>
  </si>
  <si>
    <t>2022-S2-012</t>
  </si>
  <si>
    <t>MTBCROSS - podzim 2022</t>
  </si>
  <si>
    <t>MTB CROSS.cz, z.s.</t>
  </si>
  <si>
    <t>Mánesova 1213/1, Opava, Předměstí (část), 74601</t>
  </si>
  <si>
    <t>Krejčíř, Jan</t>
  </si>
  <si>
    <t>honza@sportovnikurzy.cz</t>
  </si>
  <si>
    <t>2022-S2-013</t>
  </si>
  <si>
    <t>MTBCROSS - jaro 2022</t>
  </si>
  <si>
    <t>2022-S2-014</t>
  </si>
  <si>
    <t>ATLAS ADVENTURE 2022</t>
  </si>
  <si>
    <t>Masarykova třída 199/9, Opava, Město, 74601</t>
  </si>
  <si>
    <t>Kreisel, Ladislav</t>
  </si>
  <si>
    <t>cus@cusopava.cz</t>
  </si>
  <si>
    <t>2022-S2-015</t>
  </si>
  <si>
    <t>FESTIVAL CAPOEIRA</t>
  </si>
  <si>
    <t>Capoeira Opava, z.s.</t>
  </si>
  <si>
    <t>V Zátiší 436/1, Opava, Malé Hoštice, 74705</t>
  </si>
  <si>
    <t>2022-S2-016</t>
  </si>
  <si>
    <t>„O POHÁR MĚSTA OPAVY“ – okresní kola</t>
  </si>
  <si>
    <t>Okresní fotbalový svaz Opava</t>
  </si>
  <si>
    <t>Vodárenská 2736/18, Opava, Jaktař (část), 74707</t>
  </si>
  <si>
    <t>2022-S2-017</t>
  </si>
  <si>
    <t>Sportovní den na Kolibě</t>
  </si>
  <si>
    <t>Olomoucká 2979/117, Opava, Jaktař (část), 74601</t>
  </si>
  <si>
    <t>2022-S2-018</t>
  </si>
  <si>
    <t>Alšova 1657/7, Opava, Jaktař (část), 74601</t>
  </si>
  <si>
    <t>2022-S2-019</t>
  </si>
  <si>
    <t>Otevřený badmintonový turnaj čtyřher mužů a žen</t>
  </si>
  <si>
    <t>JAJA OPAVA, z.s.</t>
  </si>
  <si>
    <t>Polní 1793/34, Opava, Jaktař (část), 74601</t>
  </si>
  <si>
    <t>2022-S2-020</t>
  </si>
  <si>
    <t>BIKE SPORT CLUB z.s.</t>
  </si>
  <si>
    <t>Česká 1103/2, Opava, Kylešovice, 74706</t>
  </si>
  <si>
    <t>2022-S2-021</t>
  </si>
  <si>
    <t>2022-S2-022</t>
  </si>
  <si>
    <t>"VELIKONOČNÍ TURNAJ“- TURNAJ ZRAKOVĚ POSTIŽENÝCH SPORTOVCŮ V KUŽELKÁCH</t>
  </si>
  <si>
    <t>Olomoucká 185/10, Opava, Jaktař (část), 74601</t>
  </si>
  <si>
    <t>2022-S2-023</t>
  </si>
  <si>
    <t>Opavská míle 2022</t>
  </si>
  <si>
    <t>Tolstého 1467/16, Opava, Jaktař (část), 74601</t>
  </si>
  <si>
    <t>2022-S2-024</t>
  </si>
  <si>
    <t>2.ročník Běžeckého mítinku K5</t>
  </si>
  <si>
    <t>2022-S2-025</t>
  </si>
  <si>
    <t>O opavského páva</t>
  </si>
  <si>
    <t>Mírová 2296/29b, Opava, Jaktař (část), 74601</t>
  </si>
  <si>
    <t>2022-S2-026</t>
  </si>
  <si>
    <t>43. ROČNÍK GP PEPA OPAVA</t>
  </si>
  <si>
    <t>U Fortny 49/10, Opava, Město, 74601</t>
  </si>
  <si>
    <t>2022-S2-027</t>
  </si>
  <si>
    <t>O pohár města ve stolním tenisu - 13. ročník</t>
  </si>
  <si>
    <t>Antonína Sovy 1229/6, Opava, Kateřinky, 74705</t>
  </si>
  <si>
    <t>Mišičkova, Lenka</t>
  </si>
  <si>
    <t>lmisickova@post.cz</t>
  </si>
  <si>
    <t>2022-S2-028</t>
  </si>
  <si>
    <t>Fotbalový turnaj u příležitosti 50. výročí založení TJ</t>
  </si>
  <si>
    <t>Na Louky 113/28, Opava, Zlatníky, 74601</t>
  </si>
  <si>
    <t>Uvíra, Josef</t>
  </si>
  <si>
    <t>Uvira.Josef@seznam.cz</t>
  </si>
  <si>
    <t>2022-S2-029</t>
  </si>
  <si>
    <t>Globus Cup 2021 – šedesátkování jednotlivců MH</t>
  </si>
  <si>
    <t>Na Pastvisku 1587/78, Opava, Kateřinky, 74705</t>
  </si>
  <si>
    <t>Gebauerová, Barbora</t>
  </si>
  <si>
    <t>info@osh-opava.cz</t>
  </si>
  <si>
    <t>2022-S2-030</t>
  </si>
  <si>
    <t>Mezinárodní soutěž CTIF 2022</t>
  </si>
  <si>
    <t>2022-S2-031</t>
  </si>
  <si>
    <t>Mírová 819/31, Opava, Jaktař (část), 74601</t>
  </si>
  <si>
    <t>2022-S2-032</t>
  </si>
  <si>
    <t>Mezinárodní turnaj mládeže ve fotbale</t>
  </si>
  <si>
    <t>U Hřiště 343/59, Opava, Kylešovice, 74706</t>
  </si>
  <si>
    <t>2022-S2-033</t>
  </si>
  <si>
    <t>IX. ROČNÍK POSPĚCH CUP – CHARITATIVNÍ AKCE</t>
  </si>
  <si>
    <t>2022-S1-001</t>
  </si>
  <si>
    <t>Celoroční podpora střelců</t>
  </si>
  <si>
    <t>2022-S1-002</t>
  </si>
  <si>
    <t>Celoroční aktivní práce s mládeží ve sportovní střelbě v pistolových disciplínách v SSK Opava č. 0126</t>
  </si>
  <si>
    <t>Ratibořská 1439/51, Opava, Kateřinky, 74705</t>
  </si>
  <si>
    <t>Hromada, Jan</t>
  </si>
  <si>
    <t>jhropava@seznam.cz</t>
  </si>
  <si>
    <t>2022-S1-003</t>
  </si>
  <si>
    <t>ThaiBox S1</t>
  </si>
  <si>
    <t>2022-S1-004</t>
  </si>
  <si>
    <t>Pronájem tělocvičen k pravidelné sportovní činnosti, podpora na soutěžích</t>
  </si>
  <si>
    <t>Celoroční sportovní činnost SK Podvihov</t>
  </si>
  <si>
    <t>Lazecká 91/17, Opava, Podvihov, 74706</t>
  </si>
  <si>
    <t>2022-S1-006</t>
  </si>
  <si>
    <t>Celoroční sportovní činnost SK TP Opava</t>
  </si>
  <si>
    <t>Krnovská 2446/86, Opava, Jaktař (část), 74601</t>
  </si>
  <si>
    <t>2022-S1-007</t>
  </si>
  <si>
    <t>Celoroční sportovní činnost HC Draci Opava</t>
  </si>
  <si>
    <t>Hradecká 648/8, Opava, Jaktař (část), 74601</t>
  </si>
  <si>
    <t>2022-S1-008</t>
  </si>
  <si>
    <t>Celoroční sportovní činnost HC CHEGUEVARA</t>
  </si>
  <si>
    <t>HC CHEGUEVARA, z.s.</t>
  </si>
  <si>
    <t>06278442</t>
  </si>
  <si>
    <t>Liptovská 959/20, Opava, Kylešovice, 74706</t>
  </si>
  <si>
    <t>2022-S1-009</t>
  </si>
  <si>
    <t>Celoroční sportovní činnost TJ Sokol Opava - Jaktař</t>
  </si>
  <si>
    <t>Žižkova 245/32, Opava, Jaktař (část), 74707</t>
  </si>
  <si>
    <t>2022-S1-010</t>
  </si>
  <si>
    <t>Celoroční sportovní činnost Mountaintime team Opava</t>
  </si>
  <si>
    <t>Jaselská 2942/31, Opava, Jaktař (část), 74601</t>
  </si>
  <si>
    <t>2022-S1-011</t>
  </si>
  <si>
    <t>Celoroční sportovní činnost BK Trefa Opava</t>
  </si>
  <si>
    <t>Palhanecká 478/16, Opava, Jaktař (část), 74707</t>
  </si>
  <si>
    <t>2022-S1-012</t>
  </si>
  <si>
    <t>Celoroční sportovní činnost SK hasiči Opava</t>
  </si>
  <si>
    <t>Těšínská 584/39, Opava, Jaktař (část), 74601</t>
  </si>
  <si>
    <t>2022-S1-013</t>
  </si>
  <si>
    <t>Celoroční sportovní činnost Horolezeckého klubu Opava</t>
  </si>
  <si>
    <t>Nerudova 2172/39, Opava, Jaktař (část), 74601</t>
  </si>
  <si>
    <t>2022-S1-014</t>
  </si>
  <si>
    <t>Celoroční sportovní činnost HC Bijci Opava</t>
  </si>
  <si>
    <t>Ostrožná 257/15, Opava, Město, 74601</t>
  </si>
  <si>
    <t>2022-S1-015</t>
  </si>
  <si>
    <t>Celoroční sportovní činnost SK JANTAR Opava</t>
  </si>
  <si>
    <t>2022-S1-016</t>
  </si>
  <si>
    <t>Celoroční sportovní činnost JK STEALLY Opava</t>
  </si>
  <si>
    <t>Mostní 930/117, Opava, Kateřinky, 74705</t>
  </si>
  <si>
    <t>2022-S1-017</t>
  </si>
  <si>
    <t>Celoroční sportovní činnost AFK Medvědi Malé Hoštice</t>
  </si>
  <si>
    <t>Janáčkova 376/9, Opava, Malé Hoštice, 74705</t>
  </si>
  <si>
    <t>2022-S1-018</t>
  </si>
  <si>
    <t>Celoroční sportovní činnost AB Squash</t>
  </si>
  <si>
    <t>Fügnerova 1599/52, Opava, Kateřinky, 74705</t>
  </si>
  <si>
    <t>2022-S1-019</t>
  </si>
  <si>
    <t>Celoroční sportovní činnost Capoeira Opava</t>
  </si>
  <si>
    <t>2022-S1-020</t>
  </si>
  <si>
    <t>Celoroční sportovní činnost SK TRANSA Opava</t>
  </si>
  <si>
    <t>Krnovská 553/184, Opava, Jaktař (část), 74707</t>
  </si>
  <si>
    <t>2022-S1-021</t>
  </si>
  <si>
    <t>Celoroční sportovní činnost Bowlingového klubu Opava</t>
  </si>
  <si>
    <t>2022-S1-022</t>
  </si>
  <si>
    <t>Celoroční sportovní činnost HC Otice</t>
  </si>
  <si>
    <t>Sportovní klub HC Otice</t>
  </si>
  <si>
    <t>Ovocná 2351/8, Opava, Předměstí (část), 74601</t>
  </si>
  <si>
    <t>Hudeček, Jaromír</t>
  </si>
  <si>
    <t>jaromir.hudecek@email.cz</t>
  </si>
  <si>
    <t>2022-S1-023</t>
  </si>
  <si>
    <t>Celoroční sportovní činnost SPORT CLUB Opava</t>
  </si>
  <si>
    <t>Palisova 1314/6, Opava, Kylešovice, 74706</t>
  </si>
  <si>
    <t>2022-S1-024</t>
  </si>
  <si>
    <t>Celoroční sportovní činnost Basket Opava 2010</t>
  </si>
  <si>
    <t>Basket Opava 2010 z.s.</t>
  </si>
  <si>
    <t>Mařádkova 1938/26, Opava, Jaktař (část), 74601</t>
  </si>
  <si>
    <t>2022-S1-025</t>
  </si>
  <si>
    <t>Celoroční sportovní činnost SK Rodina v pohybu Opava</t>
  </si>
  <si>
    <t>Komárovská 2662/2, Opava, Jaktař (část), 74601</t>
  </si>
  <si>
    <t>2022-S1-026</t>
  </si>
  <si>
    <t>Celoroční sportovní činnost Opavského sportovního klubu</t>
  </si>
  <si>
    <t>Lidická 809/7, Opava, Jaktař (část), 74601</t>
  </si>
  <si>
    <t>2022-S1-027</t>
  </si>
  <si>
    <t>Celoroční sportovní činnost SK ZŠ Vrchní Opava</t>
  </si>
  <si>
    <t>2022-S1-028</t>
  </si>
  <si>
    <t>Celoroční sportovní činnost SK PRESTAR Opava</t>
  </si>
  <si>
    <t>U Dráhy 1652/10a, Opava, Kateřinky, 74705</t>
  </si>
  <si>
    <t>2022-S1-029</t>
  </si>
  <si>
    <t>Celoroční sportovní činnost SK SIPA SPORT Opava</t>
  </si>
  <si>
    <t>Za Humny 1442/26, Opava, Kateřinky, 74705</t>
  </si>
  <si>
    <t>2022-S1-030</t>
  </si>
  <si>
    <t>Celoroční sportovní činnost SK FERRAM Opava</t>
  </si>
  <si>
    <t>Vávrovická 275/89, Opava, Jaktař (část), 74707</t>
  </si>
  <si>
    <t>2022-S1-031</t>
  </si>
  <si>
    <t>Celoroční sportovní činnost KST Slezan Opava</t>
  </si>
  <si>
    <t>KST Slezan Opava z.s.</t>
  </si>
  <si>
    <t>Bílovecká 729/18, Opava, Jaktař (část), 74601</t>
  </si>
  <si>
    <t>2022-S1-032</t>
  </si>
  <si>
    <t>Celoroční sportovní činnost USK SU Opava</t>
  </si>
  <si>
    <t>Na Rybníčku 626/1, Opava, Jaktař (část), 74601</t>
  </si>
  <si>
    <t>2022-S1-033</t>
  </si>
  <si>
    <t>Celoroční sportovní činnost SK TK Minerva Opava</t>
  </si>
  <si>
    <t>Palackého 2398/25, Opava, Jaktař (část), 74601</t>
  </si>
  <si>
    <t>2022-S1-034</t>
  </si>
  <si>
    <t>Celoroční sportovní činnost SSKSG Opava</t>
  </si>
  <si>
    <t>SSKSG Opava, z.s.</t>
  </si>
  <si>
    <t>Úvoz 2251/7, Opava, Jaktař (část), 74601</t>
  </si>
  <si>
    <t>2022-S1-035</t>
  </si>
  <si>
    <t>Rozvoj práce s mládeží a udržení mládežnického družstva stolního tenisu. Celoroční účast v okresních soutěžích stolního tenisu mládeže a dospělých.</t>
  </si>
  <si>
    <t>Tělocvičná jednota Sokol Vávrovice</t>
  </si>
  <si>
    <t>00575402</t>
  </si>
  <si>
    <t>Jantarová 55/14, Opava, Vávrovice (část), 74773</t>
  </si>
  <si>
    <t>Schreier, Ivo</t>
  </si>
  <si>
    <t>ischreier@seznam.cz</t>
  </si>
  <si>
    <t>2022-S1-036</t>
  </si>
  <si>
    <t>Celoroční sportovní činnost SK IHC Jaselská Opava</t>
  </si>
  <si>
    <t>Sportovní klub IHC Jaselská Opava, z.s.</t>
  </si>
  <si>
    <t>Elišky Krásnohorské 2466/19, Opava, Jaktař (část), 74601</t>
  </si>
  <si>
    <t>2022-S1-037</t>
  </si>
  <si>
    <t>Celoroční sportovní činnost SK Badminton Boreček Opava</t>
  </si>
  <si>
    <t>Hobzíkova 2088/18, Opava, Jaktař (část), 74601</t>
  </si>
  <si>
    <t>2022-S1-038</t>
  </si>
  <si>
    <t>Celoroční sportovní činnost ŠSK OŤAS Opava</t>
  </si>
  <si>
    <t>Palisova 1303/5, Opava, Kylešovice, 74706</t>
  </si>
  <si>
    <t>2022-S1-039</t>
  </si>
  <si>
    <t>Celoroční sportovní činnost Sportovně gymnastického klubu Opava Opava</t>
  </si>
  <si>
    <t>Sportovně gymnastický klub Opava, z.s.</t>
  </si>
  <si>
    <t>09376097</t>
  </si>
  <si>
    <t>Stratilova 1823/6, Opava, Jaktař (část), 74601</t>
  </si>
  <si>
    <t>2022-S1-040</t>
  </si>
  <si>
    <t>Celoroční sportovní činnost SK Sympatic Opava</t>
  </si>
  <si>
    <t>Zacpalova 1839/22, Opava, Jaktař (část), 74601</t>
  </si>
  <si>
    <t>2022-S1-041</t>
  </si>
  <si>
    <t>Celoroční sportovní činnost TJ Milostovice</t>
  </si>
  <si>
    <t>Lihovarská 32/17, Opava, Milostovice, 74601</t>
  </si>
  <si>
    <t>2022-S1-042</t>
  </si>
  <si>
    <t>Celoroční sportovní činnost Team Black Hill</t>
  </si>
  <si>
    <t>Team Black Hill, z.s.</t>
  </si>
  <si>
    <t>Prokopa Holého 502/10, Opava, Jaktař (část), 74707</t>
  </si>
  <si>
    <t>2022-S1-043</t>
  </si>
  <si>
    <t>Sportovní gymnastika dětí</t>
  </si>
  <si>
    <t>Langerová, Monika</t>
  </si>
  <si>
    <t>monika.langerova@seznam.cz</t>
  </si>
  <si>
    <t>2022-S1-044</t>
  </si>
  <si>
    <t>Celoroční sportovní činnost Horolezeckého klubu Atlas Opava</t>
  </si>
  <si>
    <t>2022-S1-045</t>
  </si>
  <si>
    <t>Celoroční sportovní činnost SK KOLIBA Opava</t>
  </si>
  <si>
    <t>2022-S1-046</t>
  </si>
  <si>
    <t>44941994 TJ Slavia Malé Hoštice SPORT 2022</t>
  </si>
  <si>
    <t>Sportovní 485/3, Opava, Malé Hoštice, 74705</t>
  </si>
  <si>
    <t>Kokošek, Michal</t>
  </si>
  <si>
    <t>m.kokosek@seznam.cz</t>
  </si>
  <si>
    <t>2022-S1-047</t>
  </si>
  <si>
    <t>Celoroční sportovní činnost TJ Suché Lazce</t>
  </si>
  <si>
    <t>Na Pískovně 302/25, Opava, Suché Lazce, 74795</t>
  </si>
  <si>
    <t>2022-S1-048</t>
  </si>
  <si>
    <t>Celoroční sportovní činnost TJ Palhanec</t>
  </si>
  <si>
    <t>Karlovecká 226/52, Opava, Jaktař (část), 74707</t>
  </si>
  <si>
    <t>2022-S1-049</t>
  </si>
  <si>
    <t>Celoroční sportovní činnost SK Sport pro všechny Opava</t>
  </si>
  <si>
    <t>Fügnerova 825/44, Opava, Kateřinky, 74705</t>
  </si>
  <si>
    <t>2022-S1-050</t>
  </si>
  <si>
    <t>Celoroční sportovní činnost mládeže 2022</t>
  </si>
  <si>
    <t>6. května 52/22, Opava, Zlatníky, 74601</t>
  </si>
  <si>
    <t>Klimeš, Jaroslav</t>
  </si>
  <si>
    <t>jaroslav-klimes@volny.cz</t>
  </si>
  <si>
    <t>2022-S1-051</t>
  </si>
  <si>
    <t>Celoroční sportovní činnost SK rekreačního volejbalu Opava</t>
  </si>
  <si>
    <t>Fügnerova 767/10, Opava, Kateřinky, 74705</t>
  </si>
  <si>
    <t>2022-S1-052</t>
  </si>
  <si>
    <t>Podpora soutěžních družstev mládeže, mužů a dorostu v požárním sportu Okresní ligy, Moravskoslezského poháru a pohárových soutěží.</t>
  </si>
  <si>
    <t>SH ČMS - Sbor dobrovolných hasičů Opava-Komárov</t>
  </si>
  <si>
    <t>Podvihovská 314/17, Opava, Komárov, 74770</t>
  </si>
  <si>
    <t>Kubesa, Jiří</t>
  </si>
  <si>
    <t>jiri.kubesa@seznam.cz</t>
  </si>
  <si>
    <t>2022-S1-053</t>
  </si>
  <si>
    <t>Celoroční sportovní činnost SK Sportino</t>
  </si>
  <si>
    <t>SK Sportino z. s.</t>
  </si>
  <si>
    <t>Šafaříkova 1221/3, Opava, Jaktař (část), 74601</t>
  </si>
  <si>
    <t>2022-S1-054</t>
  </si>
  <si>
    <t>KTG Bruises Opava z. s.</t>
  </si>
  <si>
    <t>Rolnická 1232/17, Opava, Kateřinky, 74705</t>
  </si>
  <si>
    <t>Jagusztyn, Jakub</t>
  </si>
  <si>
    <t>ktgbruises@seznam.cz</t>
  </si>
  <si>
    <t>2022-S1-055</t>
  </si>
  <si>
    <t>Celoroční sportovní činnost Silesia AK Squash club Opava</t>
  </si>
  <si>
    <t>U Švédské kaple 1328/35, Opava, Kateřinky, 74705</t>
  </si>
  <si>
    <t>2022-S1-056</t>
  </si>
  <si>
    <t>Celoroční sportovní činnost Hockey Club Otice</t>
  </si>
  <si>
    <t>Hockey club Otice, z.s.</t>
  </si>
  <si>
    <t>Ovocná 2351/8, Opava, Jaktař (část), 74601</t>
  </si>
  <si>
    <t>2022-S1-057</t>
  </si>
  <si>
    <t>Celoroční sportovní činnost VALDI Opava</t>
  </si>
  <si>
    <t>Hlavní 463/8, Opava, Kylešovice, 74706</t>
  </si>
  <si>
    <t>2022-S1-058</t>
  </si>
  <si>
    <t>Celoroční sportovní činnost ZŠ Englišova Opava</t>
  </si>
  <si>
    <t>Stará silnice 496/63, Opava, Jaktař (část), 74707</t>
  </si>
  <si>
    <t>2022-S1-059</t>
  </si>
  <si>
    <t>Celoroční sportovní činnost SK Komárov</t>
  </si>
  <si>
    <t>Tovární 324/2, Opava, Komárov, 74770</t>
  </si>
  <si>
    <t>Kubesa, Michal</t>
  </si>
  <si>
    <t>michal.kubesa@modry.cz</t>
  </si>
  <si>
    <t>2022-S1-060</t>
  </si>
  <si>
    <t>Celoroční sportovní činnost SK OpavaNet</t>
  </si>
  <si>
    <t>SK OpavaNet z.s.</t>
  </si>
  <si>
    <t>Příčná 2828/10, Opava, Jaktař (část), 74601</t>
  </si>
  <si>
    <t>2022-S1-061</t>
  </si>
  <si>
    <t>Celoroční sportovní činnost SK SP Kylešovice</t>
  </si>
  <si>
    <t>SK SP Kylešovice z.s.</t>
  </si>
  <si>
    <t>2022-S1-062</t>
  </si>
  <si>
    <t>Celoroční sportovní činnost BěhOpava - spolek</t>
  </si>
  <si>
    <t>2022-S1-063</t>
  </si>
  <si>
    <t>Celoroční sportovní činnost SK Fénix Opava</t>
  </si>
  <si>
    <t>Sportovní klub Fénix Opava, z.s.</t>
  </si>
  <si>
    <t>06563147</t>
  </si>
  <si>
    <t>Mostní 378/44, Opava, Jaktař (část), 74601</t>
  </si>
  <si>
    <t>2022-S1-064</t>
  </si>
  <si>
    <t>Celoroční sportovní činnost ZRAPOS Opava</t>
  </si>
  <si>
    <t>2022-S1-065</t>
  </si>
  <si>
    <t>Podpora sportovní činnosti KPS Opava v roce 2022</t>
  </si>
  <si>
    <t>Kotršova 172/25, Opava, Jaktař (část), 74707</t>
  </si>
  <si>
    <t>Rypl, Petr</t>
  </si>
  <si>
    <t>petr.rypl@seznam.cz</t>
  </si>
  <si>
    <t>2022-S1-066</t>
  </si>
  <si>
    <t>Celoroční sportovní činnost SDH Kylešovice</t>
  </si>
  <si>
    <t>Hlavní 150/107, Opava, Kylešovice, 74706</t>
  </si>
  <si>
    <t>barbora.ptasnikova@post.cz</t>
  </si>
  <si>
    <t>2022-S1-067</t>
  </si>
  <si>
    <t>Celoroční sportovní činnost PEPA Centrum Opava</t>
  </si>
  <si>
    <t>2022-S1-068</t>
  </si>
  <si>
    <t>Celoroční sportovní činnost</t>
  </si>
  <si>
    <t>2022-S1-069</t>
  </si>
  <si>
    <t>Rozvoj tanečního sportu v Opavě</t>
  </si>
  <si>
    <t>Taneční a sportovní klub Opava z.s.</t>
  </si>
  <si>
    <t>Masařská 329/12, Opava, Město, 74601</t>
  </si>
  <si>
    <t>Neuwirth, Rostislav</t>
  </si>
  <si>
    <t>rosta.neuwirth@seznam.cz</t>
  </si>
  <si>
    <t>2022-S1-070</t>
  </si>
  <si>
    <t>Celoroční sportovní činnost SK HIT Opava</t>
  </si>
  <si>
    <t>2022-S1-071</t>
  </si>
  <si>
    <t>2022-S1-072</t>
  </si>
  <si>
    <t>Orel jednota Opava - Jaktař - provoz fotbalového hřiště</t>
  </si>
  <si>
    <t>Orel jednota Opava - Jaktař</t>
  </si>
  <si>
    <t>Okruhy 286/6, Opava, Jaktař (část), 74707</t>
  </si>
  <si>
    <t>Škrobálek, Pavel</t>
  </si>
  <si>
    <t>opavajaktar@orel.cz</t>
  </si>
  <si>
    <t>2022-S1-073</t>
  </si>
  <si>
    <t>Celoroční sportovní činnost Střeleckého klubu polní kuše Suché Lazce</t>
  </si>
  <si>
    <t>Střelecký klub polní kuše Suché Lazce, z.s.</t>
  </si>
  <si>
    <t>Střední 128/12, Opava, Suché Lazce, 74795</t>
  </si>
  <si>
    <t>2022-S1-074</t>
  </si>
  <si>
    <t>Celoroční sportovní činnost SSK MSŠZ Opava</t>
  </si>
  <si>
    <t>Palackého 1755/19, Opava, Jaktař (část), 74601</t>
  </si>
  <si>
    <t>2022-S1-075</t>
  </si>
  <si>
    <t>Sportovní činnost SDH Milostovice 2022</t>
  </si>
  <si>
    <t>Lihovarská 33/7, Opava, Milostovice, 74601</t>
  </si>
  <si>
    <t>Stupňová, Radka</t>
  </si>
  <si>
    <t>radkastupnova@gmail.com</t>
  </si>
  <si>
    <t>2022-S1-076</t>
  </si>
  <si>
    <t>2022-S1-077</t>
  </si>
  <si>
    <t>Celoroční sportovní činnost Street Hockey Club Opava</t>
  </si>
  <si>
    <t>2022-S1-078</t>
  </si>
  <si>
    <t>Celoroční sportovní činnost FIT Sports Club</t>
  </si>
  <si>
    <t>2022-S1-079</t>
  </si>
  <si>
    <t>SH ČMS - Sbor dobrovolných hasičů Opava-Suché Lazce</t>
  </si>
  <si>
    <t>Ve Dvoře 310/1a, Opava, Suché Lazce, 74795</t>
  </si>
  <si>
    <t>Plachká, Eva</t>
  </si>
  <si>
    <t>plachka.eva@email.cz</t>
  </si>
  <si>
    <t>2022-S1-080</t>
  </si>
  <si>
    <t>Celoroční sportovní činnost TJ Opava</t>
  </si>
  <si>
    <t>Kolofíkovo nábřeží 2257/52, Opava, Kateřinky, 74705</t>
  </si>
  <si>
    <t>2022-S1-081</t>
  </si>
  <si>
    <t>Celoroční sportovní činnost SK RST Opava</t>
  </si>
  <si>
    <t>2022-S1-083</t>
  </si>
  <si>
    <t>Celoroční sportovní činnost TJ Sokol Opava - Kateřinky</t>
  </si>
  <si>
    <t>2022-S1-084</t>
  </si>
  <si>
    <t>Celoroční sportovní činnost Tenisového klubu Opava</t>
  </si>
  <si>
    <t>2022-S1-085</t>
  </si>
  <si>
    <t>Celoroční sportovní činnost Školy Taekwon-do ITF Opava</t>
  </si>
  <si>
    <t>Škola Taekwon-Do ITF Opava, z.s.</t>
  </si>
  <si>
    <t>U Hliníku 1541/4, Opava, Jaktař (část), 74601</t>
  </si>
  <si>
    <t>2022-S1-086</t>
  </si>
  <si>
    <t>Celoroční sportovní činnost FK NOVA Vávrovice</t>
  </si>
  <si>
    <t>Jantarová 325/36, Opava, Vávrovice (část), 74773</t>
  </si>
  <si>
    <t>2022-S1-087</t>
  </si>
  <si>
    <t>Celoroční sportovní činnost FK Kylešovice</t>
  </si>
  <si>
    <t>2022-S1-088</t>
  </si>
  <si>
    <t>Celoroční sportovní činnost Volejbalového klubu Kylešovice</t>
  </si>
  <si>
    <t>2022-S1-089</t>
  </si>
  <si>
    <t>Celoroční sportovní činnost Triatlon team Opava</t>
  </si>
  <si>
    <t>Triatlon Team Opava z. s.</t>
  </si>
  <si>
    <t>Věnceslava Hrubého 839/10, Opava, Kylešovice, 74706</t>
  </si>
  <si>
    <t>2022-S3-001</t>
  </si>
  <si>
    <t>Tělocvičná jednota Sokol Opava</t>
  </si>
  <si>
    <t>Boženy Němcové 2309/22, Opava, Jaktař (část), 74601</t>
  </si>
  <si>
    <t>Lesák, Jiří</t>
  </si>
  <si>
    <t>sokolopava@tiscali.cz</t>
  </si>
  <si>
    <t>2022-S3-002</t>
  </si>
  <si>
    <t>Karlovecká 2918/1b, Opava, Jaktař (část), 74707</t>
  </si>
  <si>
    <t>2022-S3-003</t>
  </si>
  <si>
    <t>Vojanova 2978/31a, Opava, Jaktař (část), 74601</t>
  </si>
  <si>
    <t>Hadač, Miroslav</t>
  </si>
  <si>
    <t>hadac@nord-service.cz</t>
  </si>
  <si>
    <t>2022-S3-004</t>
  </si>
  <si>
    <t>Palackého 394/3, Opava, Předměstí (část), 74601</t>
  </si>
  <si>
    <t>2022-S3-005</t>
  </si>
  <si>
    <t>Vančurova 2985/20, Opava, Jaktař (část), 74601</t>
  </si>
  <si>
    <t>2022-S3-006</t>
  </si>
  <si>
    <t>Tělovýchovná jednota Slezan Opava, z.s.</t>
  </si>
  <si>
    <t>Boženy Němcové 1/20, Opava, Jaktař (část), 74601</t>
  </si>
  <si>
    <t>Slezan Opava, z.s., Tělovýchovná jednota</t>
  </si>
  <si>
    <t>slezan.opava@email.cz</t>
  </si>
  <si>
    <t>2022-S3-007</t>
  </si>
  <si>
    <t>Jezdecký klub Opava - Kateřinky, z.s.</t>
  </si>
  <si>
    <t>Rolnická 159/120, Opava, Kateřinky, 74705</t>
  </si>
  <si>
    <t>2022-S3-008</t>
  </si>
  <si>
    <t>Jaselská 1688/24, Opava, Kateřinky, 74705</t>
  </si>
  <si>
    <t>2022-S3-009</t>
  </si>
  <si>
    <t>Holasická 892/17, Opava, Kateřinky, 74705</t>
  </si>
  <si>
    <t>novák, přemysl</t>
  </si>
  <si>
    <t>skpema@atlas.cz</t>
  </si>
  <si>
    <t>2022-S3-010</t>
  </si>
  <si>
    <t>Na Bahně 1190/15, Opava, Kateřinky, 74705</t>
  </si>
  <si>
    <t>Šťastný, David</t>
  </si>
  <si>
    <t>happybeach@centrum.cz</t>
  </si>
  <si>
    <t>2022-S3-011</t>
  </si>
  <si>
    <t>Wolkerova 1469/1a, Opava, Kateřinky, 74705</t>
  </si>
  <si>
    <t>Źádost včetně nákladového rozpočtu</t>
  </si>
  <si>
    <t>2022-S1-005</t>
  </si>
  <si>
    <t>Žádost včetně nákladového rozpočtu</t>
  </si>
  <si>
    <t>Celeroční činnost T. J. Sokol Opava</t>
  </si>
  <si>
    <t>Celoroční sportovní činnost SK JC Sport Opava</t>
  </si>
  <si>
    <t>Celoroční činnost OB Opava</t>
  </si>
  <si>
    <t>Celoroční sportovní činnost vybraného subjektu LUIGINO.cz, z.s.</t>
  </si>
  <si>
    <t>Celoroční sportovní činnost HEAD BIKE Opava</t>
  </si>
  <si>
    <t>Celoroční činnost TJ Slezan Opava, z.s.</t>
  </si>
  <si>
    <t>Celoroční sportovní činnost JK Opava - Kateřinky</t>
  </si>
  <si>
    <t>Celoroční sportovní činnost Kánoe klub Opava</t>
  </si>
  <si>
    <t>SPORTOVNÍ ČINNOST S.K. P.E.M.A. 2022</t>
  </si>
  <si>
    <t>Celoroční činnost volejbalového a beachvolejbalového oddílu HAPPY SPORT Opava</t>
  </si>
  <si>
    <t>Celoroční sportovní činnost FK SLAVIA OPAVA</t>
  </si>
  <si>
    <t>2022-S1-082</t>
  </si>
  <si>
    <t>Roosseveltova 2677/6, Opava, Město, 74601</t>
  </si>
  <si>
    <t>Jureček, Daniel</t>
  </si>
  <si>
    <t>jurecekd@seznam.cz</t>
  </si>
  <si>
    <t>S 1/22 SPORT</t>
  </si>
  <si>
    <t>Sportovní činnost OSH Opava 2022</t>
  </si>
  <si>
    <t>Celoroční sportovní činnost RS ČUS v Opavě</t>
  </si>
  <si>
    <t>Název projektu</t>
  </si>
  <si>
    <t>Vybrané subjekty S 3/22</t>
  </si>
  <si>
    <t>Celoroční činnost S1/22 (min. 10 tis. Kč, max. 400 tis. Kč) nebo S3/22 (min. 10 tis. Kč, max. 900 tis. Kč) dotace max. do výše 60% rozp. výdajů               ZAOKROUHLENO NA CELÉ STOKORUNY</t>
  </si>
  <si>
    <t xml:space="preserve">ČSS, z.s. - sportovně střelecký klub Opava č. 0126 </t>
  </si>
  <si>
    <t>mimo soutěž do 5 let (koef. 0)</t>
  </si>
  <si>
    <t>ROZDÍL</t>
  </si>
  <si>
    <t>DTJ</t>
  </si>
  <si>
    <t>částka k rozdělení</t>
  </si>
  <si>
    <t>část pro organizace (min. výše dotace)</t>
  </si>
  <si>
    <t>část pro střešní organizace (paušál na člena)</t>
  </si>
  <si>
    <t>část pro trenérskou činnost</t>
  </si>
  <si>
    <t>DTJ4</t>
  </si>
  <si>
    <t>část pro děti a mládež 6-23 let</t>
  </si>
  <si>
    <t>část pro registrované všech věkových kategorií</t>
  </si>
  <si>
    <t>akce</t>
  </si>
  <si>
    <t>základní část PP (rozděleno)</t>
  </si>
  <si>
    <t>rozdíl po zaokrouhlení základní části PP</t>
  </si>
  <si>
    <t>nástavbová část PP (nerozděleno)</t>
  </si>
  <si>
    <t>Daniel Jureček (Orel Opava)</t>
  </si>
  <si>
    <t>koef. 3,15</t>
  </si>
  <si>
    <t>S 3/22 z.č.</t>
  </si>
  <si>
    <t>Rozdělení částek dle Programu SPORT 2022</t>
  </si>
  <si>
    <t>- 200 Kč</t>
  </si>
  <si>
    <t>- 40 Kč</t>
  </si>
  <si>
    <t>- 160 Kč</t>
  </si>
  <si>
    <t>- 142 Kč</t>
  </si>
  <si>
    <t xml:space="preserve">Částka pro rozdělení v  nadstavbové části S 3/22 </t>
  </si>
  <si>
    <t>Rozdíl mezi dotací celkem a maximální výši dotace (STROP = max. 900 tis. Kč)</t>
  </si>
  <si>
    <t>Přebytek rozdělen na základě rozhodnutí SK</t>
  </si>
  <si>
    <t xml:space="preserve">Přepočet výše dotace S3 s odečtem stropu a rozdělením přebytku </t>
  </si>
  <si>
    <t>Rozdělení přebytku:</t>
  </si>
  <si>
    <t>SUMA</t>
  </si>
  <si>
    <t>Celkem</t>
  </si>
  <si>
    <t>Celoroční činnost S1/22(min. 10 tis. Kč, max. 400 tis. Kč)   dotace max. do výše 60% rozp. Výdajů</t>
  </si>
  <si>
    <t>Mezisoučet dotací - ZÁKLAD nebo  strop 60% rozp. Výdajů (sloupec U) (min. 10 000,- Kč</t>
  </si>
  <si>
    <t xml:space="preserve">30,- Kč x členská základna střešní organizace             (max. 400 tis. Kč)          </t>
  </si>
  <si>
    <r>
      <t xml:space="preserve">Výše nákladů -  100% dle Výsledovky </t>
    </r>
    <r>
      <rPr>
        <b/>
        <sz val="9"/>
        <rFont val="Arial"/>
        <family val="2"/>
        <charset val="238"/>
      </rPr>
      <t>2020</t>
    </r>
  </si>
  <si>
    <t>Výše nákladů -  100% dle Výsledovky</t>
  </si>
  <si>
    <t>Ptášník Přečmysl</t>
  </si>
  <si>
    <t>Rozdělení částek dle Programu SPORT 2022 - PO ZAOKROUHLENÍ</t>
  </si>
  <si>
    <t>Přepočet dílčí dotace (děti a mládež)</t>
  </si>
  <si>
    <t>Přepočet dílčí dotace (trenéři)</t>
  </si>
  <si>
    <r>
      <t xml:space="preserve"> Základní (minimální) příspěvek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                          </t>
    </r>
  </si>
  <si>
    <t>Dle dat  S1</t>
  </si>
  <si>
    <t xml:space="preserve">Minimální podpora organizace je stanovená na zákaldě podmínky, že musí být větší než nejvyšší podpora v S1 u nezařazených spolků do S3 </t>
  </si>
  <si>
    <t>S2/22 Podpora sportovních akcí 2022 - 1.300.000 Kč</t>
  </si>
  <si>
    <r>
      <t xml:space="preserve">S3 Nadstavba  2022 </t>
    </r>
    <r>
      <rPr>
        <b/>
        <sz val="9"/>
        <color rgb="FFFF0000"/>
        <rFont val="Arial"/>
        <family val="2"/>
        <charset val="238"/>
      </rPr>
      <t>5.700.000 Kč</t>
    </r>
  </si>
  <si>
    <t>S 1/22  Celoroční sportovní činnost  + S 3/22 Celoroční sportovní činnost vybraných subjektů základní část - 6.000. 000 Kč</t>
  </si>
  <si>
    <t>č.ž</t>
  </si>
  <si>
    <t>2022-S1-005.pdf</t>
  </si>
  <si>
    <t>2022-S1-003.pdf</t>
  </si>
  <si>
    <t>2022-S1-006.pdf</t>
  </si>
  <si>
    <t>2022-S1-007.pdf</t>
  </si>
  <si>
    <t>2022-S1-008.pdf</t>
  </si>
  <si>
    <t>2022-S1-009.pdf</t>
  </si>
  <si>
    <t>2022-S1-010.pdf</t>
  </si>
  <si>
    <t>2022-S1-011.pdf</t>
  </si>
  <si>
    <t>2022-S1-012.pdf</t>
  </si>
  <si>
    <t>2022-S1-013.pdf</t>
  </si>
  <si>
    <t>2022-S1-014.pdf</t>
  </si>
  <si>
    <t>2022-S1-015.pdf</t>
  </si>
  <si>
    <t>2022-S1-016.pdf</t>
  </si>
  <si>
    <t>2022-S1-017.pdf</t>
  </si>
  <si>
    <t>2022-S1-018.pdf</t>
  </si>
  <si>
    <t>2022-S1-019.pdf</t>
  </si>
  <si>
    <t>2022-S1-020.pdf</t>
  </si>
  <si>
    <t>2022-S1-021.pdf</t>
  </si>
  <si>
    <t>2022-S1-023.pdf</t>
  </si>
  <si>
    <t>2022-S1-024.pdf</t>
  </si>
  <si>
    <t>2022-S1-025.pdf</t>
  </si>
  <si>
    <t>2022-S1-026.pdf</t>
  </si>
  <si>
    <t>2022-S1-027.pdf</t>
  </si>
  <si>
    <t>2022-S1-028.pdf</t>
  </si>
  <si>
    <t>2022-S1-029.pdf</t>
  </si>
  <si>
    <t>2022-S1-030.pdf</t>
  </si>
  <si>
    <t>2022-S1-031.pdf</t>
  </si>
  <si>
    <t>2022-S1-032.pdf</t>
  </si>
  <si>
    <t>2022-S1-033.pdf</t>
  </si>
  <si>
    <t>2022-S1-034.pdf</t>
  </si>
  <si>
    <t>2022-S1-036.pdf</t>
  </si>
  <si>
    <t>2022-S1-037.pdf</t>
  </si>
  <si>
    <t>2022-S1-038.pdf</t>
  </si>
  <si>
    <t>2022-S1-039.pdf</t>
  </si>
  <si>
    <t>2022-S1-040.pdf</t>
  </si>
  <si>
    <t>2022-S1-041.pdf</t>
  </si>
  <si>
    <t>2022-S1-042.pdf</t>
  </si>
  <si>
    <t>2022-S1-043.pdf</t>
  </si>
  <si>
    <t>2022-S1-044.pdf</t>
  </si>
  <si>
    <t>2022-S1-045.pdf</t>
  </si>
  <si>
    <t>2022-S1-046.pdf</t>
  </si>
  <si>
    <t>2022-S1-047.pdf</t>
  </si>
  <si>
    <t>2022-S1-048.pdf</t>
  </si>
  <si>
    <t>2022-S1-049.pdf</t>
  </si>
  <si>
    <t>2022-S1-051.pdf</t>
  </si>
  <si>
    <t>2022-S1-053.pdf</t>
  </si>
  <si>
    <t>2022-S1-055.pdf</t>
  </si>
  <si>
    <t>2022-S1-056.pdf</t>
  </si>
  <si>
    <t>2022-S1-057.pdf</t>
  </si>
  <si>
    <t>2022-S1-058.pdf</t>
  </si>
  <si>
    <t>2022-S1-059.pdf</t>
  </si>
  <si>
    <t>2022-S1-060.pdf</t>
  </si>
  <si>
    <t>2022-S1-061.pdf</t>
  </si>
  <si>
    <t>2022-S1-062.pdf</t>
  </si>
  <si>
    <t>2022-S1-063.pdf</t>
  </si>
  <si>
    <t>2022-S1-064.pdf</t>
  </si>
  <si>
    <t>2022-S1-065.pdf</t>
  </si>
  <si>
    <t>2022-S1-067.pdf</t>
  </si>
  <si>
    <t>2022-S1-068.pdf</t>
  </si>
  <si>
    <t>2022-S1-070.pdf</t>
  </si>
  <si>
    <t>2022-S1-073.pdf</t>
  </si>
  <si>
    <t>2022-S1-074.pdf</t>
  </si>
  <si>
    <t>2022-S1-077.pdf</t>
  </si>
  <si>
    <t>2022-S1-078.pdf</t>
  </si>
  <si>
    <t>2022-S1-080.pdf</t>
  </si>
  <si>
    <t>2022-S1-081.pdf</t>
  </si>
  <si>
    <t>2022-S1-082.pdf</t>
  </si>
  <si>
    <t>2022-S1-083.pdf</t>
  </si>
  <si>
    <t>2022-S1-084.pdf</t>
  </si>
  <si>
    <t>2022-S1-085.pdf</t>
  </si>
  <si>
    <t>2022-S1-086.pdf</t>
  </si>
  <si>
    <t>2022-S1-087.pdf</t>
  </si>
  <si>
    <t>2022-S1-088.pdf</t>
  </si>
  <si>
    <t>2022-S1-089.pdf</t>
  </si>
  <si>
    <t>2022-S1-001.pdf</t>
  </si>
  <si>
    <t>2022-S1-002.pdf</t>
  </si>
  <si>
    <t>2022-S1-004.pdf</t>
  </si>
  <si>
    <t>2022-S1-035.pdf</t>
  </si>
  <si>
    <t>2022-S1-072.pdf</t>
  </si>
  <si>
    <t>2022-S1-069.pdf</t>
  </si>
  <si>
    <t>2022-S1-050.pdf</t>
  </si>
  <si>
    <t>2022-S1-052.pdf</t>
  </si>
  <si>
    <t>2022-S1-066.pdf</t>
  </si>
  <si>
    <t>2022-S1-075.pdf</t>
  </si>
  <si>
    <t>2022-S1-079.pdf</t>
  </si>
  <si>
    <t>2022-S3-001.pdf</t>
  </si>
  <si>
    <t>2022-S3-002.pdf</t>
  </si>
  <si>
    <t>2022-S3-003.pdf</t>
  </si>
  <si>
    <t>2022-S3-004.pdf</t>
  </si>
  <si>
    <t>2022-S3-005.pdf</t>
  </si>
  <si>
    <t>2022-S3-006.pdf</t>
  </si>
  <si>
    <t>2022-S3-007.pdf</t>
  </si>
  <si>
    <t>2022-S3-008.pdf</t>
  </si>
  <si>
    <t>2022-S3-009.pdf</t>
  </si>
  <si>
    <t>2022-S3-010.pdf</t>
  </si>
  <si>
    <t>2022-S3-011.pdf</t>
  </si>
  <si>
    <t>2022-S1-076.pdf</t>
  </si>
  <si>
    <t>2022-S1-071.pdf</t>
  </si>
  <si>
    <t>Návrh dotace SMO</t>
  </si>
  <si>
    <t>2022-S2-002.pdf</t>
  </si>
  <si>
    <t>2022-S2-001.pdf</t>
  </si>
  <si>
    <t>2022-S2-003.pdf</t>
  </si>
  <si>
    <t>2022-S2-004.pdf</t>
  </si>
  <si>
    <t>2022-S2-005.pdf</t>
  </si>
  <si>
    <t>2022-S2-006.pdf</t>
  </si>
  <si>
    <t>2022-S2-007.pdf</t>
  </si>
  <si>
    <t>2022-S2-008.pdf</t>
  </si>
  <si>
    <t>2022-S2-009.pdf</t>
  </si>
  <si>
    <t>2022-S2-012.pdf</t>
  </si>
  <si>
    <t>2022-S2-013.pdf</t>
  </si>
  <si>
    <t>2022-S2-014.pdf</t>
  </si>
  <si>
    <t>2022-S2-015.pdf</t>
  </si>
  <si>
    <t>2022-S2-016.pdf</t>
  </si>
  <si>
    <t>2022-S2-017.pdf</t>
  </si>
  <si>
    <t>2022-S2-018.pdf</t>
  </si>
  <si>
    <t>2022-S2-019.pdf</t>
  </si>
  <si>
    <t>2022-S2-020.pdf</t>
  </si>
  <si>
    <t>2022-S2-021.pdf</t>
  </si>
  <si>
    <t>2022-S2-022.pdf</t>
  </si>
  <si>
    <t>2022-S2-023.pdf</t>
  </si>
  <si>
    <t>2022-S2-024.pdf</t>
  </si>
  <si>
    <t>2022-S2-025.pdf</t>
  </si>
  <si>
    <t>2022-S2-026.pdf</t>
  </si>
  <si>
    <t>2022-S2-027.pdf</t>
  </si>
  <si>
    <t>2022-S2-028.pdf</t>
  </si>
  <si>
    <t>2022-S2-029.pdf</t>
  </si>
  <si>
    <t>2022-S2-030.pdf</t>
  </si>
  <si>
    <t>2022-S2-031.pdf</t>
  </si>
  <si>
    <t>2022-S2-032.pdf</t>
  </si>
  <si>
    <t>2022-S2-033.pdf</t>
  </si>
  <si>
    <t>Podpořené projekty 2022</t>
  </si>
  <si>
    <t>Nepodpořené projekty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</si>
</sst>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&quot;Kč&quot;"/>
  </numFmts>
  <fonts count="58" x14ac:knownFonts="1">
    <font>
      <sz val="10"/>
      <name val="Arial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B0F0"/>
      <name val="Arial"/>
      <family val="2"/>
      <charset val="238"/>
    </font>
    <font>
      <i/>
      <sz val="9"/>
      <color theme="7" tint="-0.249977111117893"/>
      <name val="Arial"/>
      <family val="2"/>
      <charset val="238"/>
    </font>
    <font>
      <i/>
      <sz val="9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9"/>
      <color theme="9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1"/>
      <color rgb="FFFFFF00"/>
      <name val="Arial"/>
      <family val="2"/>
      <charset val="238"/>
    </font>
    <font>
      <sz val="11"/>
      <color indexed="13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FF000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u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theme="6" tint="0.39997558519241921"/>
      <name val="Arial"/>
      <family val="2"/>
      <charset val="238"/>
    </font>
    <font>
      <b/>
      <sz val="11"/>
      <color theme="6" tint="0.39997558519241921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color theme="0"/>
      <name val="Arial"/>
      <family val="2"/>
      <charset val="238"/>
    </font>
    <font>
      <sz val="24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2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3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0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165" fontId="0" fillId="0" borderId="0" xfId="0" applyNumberFormat="1"/>
    <xf numFmtId="0" fontId="0" fillId="0" borderId="0" xfId="0" applyBorder="1"/>
    <xf numFmtId="0" fontId="0" fillId="8" borderId="0" xfId="0" applyFill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/>
    <xf numFmtId="166" fontId="14" fillId="10" borderId="18" xfId="0" applyNumberFormat="1" applyFont="1" applyFill="1" applyBorder="1" applyAlignment="1">
      <alignment horizontal="center" vertical="center" wrapText="1"/>
    </xf>
    <xf numFmtId="3" fontId="21" fillId="0" borderId="53" xfId="0" applyNumberFormat="1" applyFont="1" applyFill="1" applyBorder="1" applyAlignment="1">
      <alignment horizontal="center" vertical="center"/>
    </xf>
    <xf numFmtId="3" fontId="13" fillId="0" borderId="58" xfId="0" applyNumberFormat="1" applyFont="1" applyFill="1" applyBorder="1" applyAlignment="1">
      <alignment horizontal="center" vertical="center"/>
    </xf>
    <xf numFmtId="3" fontId="13" fillId="0" borderId="88" xfId="0" applyNumberFormat="1" applyFont="1" applyFill="1" applyBorder="1" applyAlignment="1">
      <alignment horizontal="center" vertical="center"/>
    </xf>
    <xf numFmtId="3" fontId="13" fillId="0" borderId="53" xfId="0" applyNumberFormat="1" applyFont="1" applyFill="1" applyBorder="1" applyAlignment="1">
      <alignment horizontal="center" vertical="center"/>
    </xf>
    <xf numFmtId="3" fontId="13" fillId="0" borderId="85" xfId="0" applyNumberFormat="1" applyFont="1" applyFill="1" applyBorder="1" applyAlignment="1">
      <alignment horizontal="center" vertical="center"/>
    </xf>
    <xf numFmtId="3" fontId="13" fillId="0" borderId="76" xfId="0" applyNumberFormat="1" applyFont="1" applyFill="1" applyBorder="1" applyAlignment="1">
      <alignment horizontal="center" vertical="center"/>
    </xf>
    <xf numFmtId="3" fontId="20" fillId="0" borderId="23" xfId="0" applyNumberFormat="1" applyFont="1" applyBorder="1" applyAlignment="1">
      <alignment horizontal="center" vertical="center"/>
    </xf>
    <xf numFmtId="3" fontId="15" fillId="10" borderId="68" xfId="0" applyNumberFormat="1" applyFont="1" applyFill="1" applyBorder="1" applyAlignment="1">
      <alignment horizontal="center" vertical="center"/>
    </xf>
    <xf numFmtId="3" fontId="13" fillId="0" borderId="82" xfId="0" applyNumberFormat="1" applyFont="1" applyBorder="1" applyAlignment="1">
      <alignment horizontal="center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14" fillId="18" borderId="53" xfId="0" applyNumberFormat="1" applyFont="1" applyFill="1" applyBorder="1" applyAlignment="1">
      <alignment horizontal="center" vertical="center"/>
    </xf>
    <xf numFmtId="3" fontId="21" fillId="0" borderId="56" xfId="0" applyNumberFormat="1" applyFont="1" applyFill="1" applyBorder="1" applyAlignment="1">
      <alignment horizontal="center" vertical="center"/>
    </xf>
    <xf numFmtId="3" fontId="13" fillId="0" borderId="59" xfId="0" applyNumberFormat="1" applyFont="1" applyFill="1" applyBorder="1" applyAlignment="1">
      <alignment horizontal="center" vertical="center"/>
    </xf>
    <xf numFmtId="3" fontId="13" fillId="0" borderId="73" xfId="0" applyNumberFormat="1" applyFont="1" applyFill="1" applyBorder="1" applyAlignment="1">
      <alignment horizontal="center" vertical="center"/>
    </xf>
    <xf numFmtId="3" fontId="13" fillId="0" borderId="56" xfId="0" applyNumberFormat="1" applyFont="1" applyFill="1" applyBorder="1" applyAlignment="1">
      <alignment horizontal="center" vertical="center"/>
    </xf>
    <xf numFmtId="3" fontId="13" fillId="0" borderId="86" xfId="0" applyNumberFormat="1" applyFont="1" applyFill="1" applyBorder="1" applyAlignment="1">
      <alignment horizontal="center" vertical="center"/>
    </xf>
    <xf numFmtId="3" fontId="13" fillId="0" borderId="80" xfId="0" applyNumberFormat="1" applyFont="1" applyFill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15" fillId="10" borderId="56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4" fillId="18" borderId="56" xfId="0" applyNumberFormat="1" applyFont="1" applyFill="1" applyBorder="1" applyAlignment="1">
      <alignment horizontal="center" vertical="center"/>
    </xf>
    <xf numFmtId="3" fontId="13" fillId="0" borderId="78" xfId="0" applyNumberFormat="1" applyFont="1" applyFill="1" applyBorder="1" applyAlignment="1">
      <alignment horizontal="center" vertical="center"/>
    </xf>
    <xf numFmtId="3" fontId="13" fillId="0" borderId="72" xfId="0" applyNumberFormat="1" applyFont="1" applyFill="1" applyBorder="1" applyAlignment="1">
      <alignment horizontal="center" vertical="center"/>
    </xf>
    <xf numFmtId="3" fontId="21" fillId="0" borderId="57" xfId="0" applyNumberFormat="1" applyFont="1" applyFill="1" applyBorder="1" applyAlignment="1">
      <alignment horizontal="center" vertical="center"/>
    </xf>
    <xf numFmtId="3" fontId="13" fillId="0" borderId="69" xfId="0" applyNumberFormat="1" applyFont="1" applyFill="1" applyBorder="1" applyAlignment="1">
      <alignment horizontal="center" vertical="center"/>
    </xf>
    <xf numFmtId="3" fontId="13" fillId="0" borderId="89" xfId="0" applyNumberFormat="1" applyFont="1" applyFill="1" applyBorder="1" applyAlignment="1">
      <alignment horizontal="center" vertical="center"/>
    </xf>
    <xf numFmtId="3" fontId="13" fillId="0" borderId="57" xfId="0" applyNumberFormat="1" applyFont="1" applyFill="1" applyBorder="1" applyAlignment="1">
      <alignment horizontal="center" vertical="center"/>
    </xf>
    <xf numFmtId="3" fontId="13" fillId="0" borderId="65" xfId="0" applyNumberFormat="1" applyFont="1" applyFill="1" applyBorder="1" applyAlignment="1">
      <alignment horizontal="center" vertical="center"/>
    </xf>
    <xf numFmtId="3" fontId="13" fillId="0" borderId="81" xfId="0" applyNumberFormat="1" applyFont="1" applyFill="1" applyBorder="1" applyAlignment="1">
      <alignment horizontal="center" vertical="center"/>
    </xf>
    <xf numFmtId="3" fontId="15" fillId="10" borderId="57" xfId="0" applyNumberFormat="1" applyFont="1" applyFill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49" xfId="0" applyNumberFormat="1" applyFont="1" applyFill="1" applyBorder="1" applyAlignment="1">
      <alignment horizontal="center" vertical="center"/>
    </xf>
    <xf numFmtId="3" fontId="14" fillId="18" borderId="57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3" fontId="24" fillId="0" borderId="0" xfId="0" applyNumberFormat="1" applyFont="1" applyFill="1" applyBorder="1" applyAlignment="1">
      <alignment horizontal="center"/>
    </xf>
    <xf numFmtId="9" fontId="13" fillId="0" borderId="0" xfId="0" applyNumberFormat="1" applyFont="1"/>
    <xf numFmtId="0" fontId="13" fillId="0" borderId="0" xfId="0" applyFont="1" applyFill="1" applyBorder="1" applyAlignment="1">
      <alignment wrapText="1"/>
    </xf>
    <xf numFmtId="3" fontId="13" fillId="0" borderId="0" xfId="0" applyNumberFormat="1" applyFont="1"/>
    <xf numFmtId="0" fontId="13" fillId="0" borderId="44" xfId="0" applyFont="1" applyBorder="1"/>
    <xf numFmtId="0" fontId="13" fillId="0" borderId="61" xfId="0" applyFont="1" applyBorder="1"/>
    <xf numFmtId="0" fontId="13" fillId="0" borderId="62" xfId="0" applyFont="1" applyBorder="1"/>
    <xf numFmtId="0" fontId="13" fillId="0" borderId="104" xfId="0" applyFont="1" applyBorder="1"/>
    <xf numFmtId="0" fontId="13" fillId="0" borderId="0" xfId="0" applyFont="1" applyBorder="1"/>
    <xf numFmtId="0" fontId="13" fillId="0" borderId="30" xfId="0" applyFont="1" applyBorder="1"/>
    <xf numFmtId="0" fontId="13" fillId="0" borderId="63" xfId="0" applyFont="1" applyBorder="1"/>
    <xf numFmtId="0" fontId="13" fillId="0" borderId="64" xfId="0" applyFont="1" applyBorder="1"/>
    <xf numFmtId="0" fontId="13" fillId="0" borderId="65" xfId="0" applyFont="1" applyBorder="1"/>
    <xf numFmtId="0" fontId="10" fillId="26" borderId="4" xfId="0" applyFont="1" applyFill="1" applyBorder="1" applyAlignment="1">
      <alignment horizontal="left" wrapText="1"/>
    </xf>
    <xf numFmtId="0" fontId="10" fillId="26" borderId="4" xfId="0" applyFont="1" applyFill="1" applyBorder="1" applyAlignment="1">
      <alignment vertical="center" wrapText="1"/>
    </xf>
    <xf numFmtId="0" fontId="10" fillId="26" borderId="4" xfId="0" applyFont="1" applyFill="1" applyBorder="1" applyAlignment="1">
      <alignment wrapText="1"/>
    </xf>
    <xf numFmtId="3" fontId="10" fillId="26" borderId="4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6" borderId="4" xfId="0" applyFont="1" applyFill="1" applyBorder="1" applyAlignment="1">
      <alignment horizontal="center" wrapText="1"/>
    </xf>
    <xf numFmtId="3" fontId="8" fillId="0" borderId="3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/>
    </xf>
    <xf numFmtId="0" fontId="6" fillId="0" borderId="5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3" fontId="27" fillId="20" borderId="3" xfId="0" applyNumberFormat="1" applyFont="1" applyFill="1" applyBorder="1" applyAlignment="1">
      <alignment horizontal="center" vertical="center" wrapText="1"/>
    </xf>
    <xf numFmtId="3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3" fontId="20" fillId="20" borderId="3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0" fontId="27" fillId="0" borderId="105" xfId="0" applyFont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0" borderId="98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3" fontId="27" fillId="20" borderId="16" xfId="0" applyNumberFormat="1" applyFont="1" applyFill="1" applyBorder="1" applyAlignment="1">
      <alignment horizontal="center" vertical="center" wrapText="1"/>
    </xf>
    <xf numFmtId="0" fontId="13" fillId="0" borderId="70" xfId="0" applyFont="1" applyBorder="1" applyAlignment="1">
      <alignment vertical="center"/>
    </xf>
    <xf numFmtId="3" fontId="13" fillId="0" borderId="53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0" xfId="0" applyFont="1" applyBorder="1"/>
    <xf numFmtId="0" fontId="4" fillId="0" borderId="0" xfId="0" applyFont="1"/>
    <xf numFmtId="0" fontId="8" fillId="3" borderId="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3" fontId="4" fillId="4" borderId="55" xfId="0" applyNumberFormat="1" applyFont="1" applyFill="1" applyBorder="1" applyAlignment="1">
      <alignment horizontal="center" vertical="center" wrapText="1"/>
    </xf>
    <xf numFmtId="3" fontId="4" fillId="4" borderId="67" xfId="0" applyNumberFormat="1" applyFont="1" applyFill="1" applyBorder="1" applyAlignment="1">
      <alignment horizontal="center" vertical="center" wrapText="1"/>
    </xf>
    <xf numFmtId="3" fontId="4" fillId="5" borderId="66" xfId="0" applyNumberFormat="1" applyFont="1" applyFill="1" applyBorder="1" applyAlignment="1">
      <alignment horizontal="center" vertical="center" wrapText="1"/>
    </xf>
    <xf numFmtId="3" fontId="4" fillId="5" borderId="55" xfId="0" applyNumberFormat="1" applyFont="1" applyFill="1" applyBorder="1" applyAlignment="1">
      <alignment horizontal="center" vertical="center" wrapText="1"/>
    </xf>
    <xf numFmtId="3" fontId="4" fillId="5" borderId="67" xfId="0" applyNumberFormat="1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3" fontId="4" fillId="7" borderId="66" xfId="0" applyNumberFormat="1" applyFont="1" applyFill="1" applyBorder="1" applyAlignment="1">
      <alignment horizontal="center" vertical="center" wrapText="1"/>
    </xf>
    <xf numFmtId="3" fontId="4" fillId="7" borderId="67" xfId="0" applyNumberFormat="1" applyFont="1" applyFill="1" applyBorder="1" applyAlignment="1">
      <alignment horizontal="center" vertical="center" wrapText="1"/>
    </xf>
    <xf numFmtId="3" fontId="4" fillId="9" borderId="6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65" fontId="4" fillId="24" borderId="66" xfId="0" applyNumberFormat="1" applyFont="1" applyFill="1" applyBorder="1" applyAlignment="1">
      <alignment horizontal="center" vertical="center" wrapText="1"/>
    </xf>
    <xf numFmtId="165" fontId="8" fillId="24" borderId="55" xfId="0" applyNumberFormat="1" applyFont="1" applyFill="1" applyBorder="1" applyAlignment="1">
      <alignment horizontal="center" vertical="center" wrapText="1"/>
    </xf>
    <xf numFmtId="165" fontId="8" fillId="24" borderId="67" xfId="0" applyNumberFormat="1" applyFont="1" applyFill="1" applyBorder="1" applyAlignment="1">
      <alignment vertical="center" wrapText="1"/>
    </xf>
    <xf numFmtId="165" fontId="8" fillId="24" borderId="54" xfId="0" applyNumberFormat="1" applyFont="1" applyFill="1" applyBorder="1" applyAlignment="1">
      <alignment horizontal="left" vertical="top" wrapText="1"/>
    </xf>
    <xf numFmtId="165" fontId="8" fillId="24" borderId="55" xfId="0" applyNumberFormat="1" applyFont="1" applyFill="1" applyBorder="1" applyAlignment="1">
      <alignment horizontal="left" vertical="top" wrapText="1"/>
    </xf>
    <xf numFmtId="3" fontId="8" fillId="24" borderId="55" xfId="0" applyNumberFormat="1" applyFont="1" applyFill="1" applyBorder="1" applyAlignment="1">
      <alignment horizontal="left" vertical="top" wrapText="1"/>
    </xf>
    <xf numFmtId="3" fontId="8" fillId="24" borderId="55" xfId="0" applyNumberFormat="1" applyFont="1" applyFill="1" applyBorder="1" applyAlignment="1">
      <alignment horizontal="center" vertical="center"/>
    </xf>
    <xf numFmtId="165" fontId="8" fillId="24" borderId="55" xfId="0" applyNumberFormat="1" applyFont="1" applyFill="1" applyBorder="1" applyAlignment="1">
      <alignment horizontal="center" vertical="center"/>
    </xf>
    <xf numFmtId="165" fontId="4" fillId="24" borderId="55" xfId="0" applyNumberFormat="1" applyFont="1" applyFill="1" applyBorder="1" applyAlignment="1">
      <alignment horizontal="center" vertical="center" wrapText="1"/>
    </xf>
    <xf numFmtId="165" fontId="4" fillId="24" borderId="27" xfId="0" applyNumberFormat="1" applyFont="1" applyFill="1" applyBorder="1" applyAlignment="1">
      <alignment horizontal="center" vertical="center" wrapText="1"/>
    </xf>
    <xf numFmtId="165" fontId="4" fillId="24" borderId="4" xfId="0" applyNumberFormat="1" applyFont="1" applyFill="1" applyBorder="1" applyAlignment="1">
      <alignment horizontal="right" vertical="center" wrapText="1"/>
    </xf>
    <xf numFmtId="165" fontId="31" fillId="24" borderId="51" xfId="0" applyNumberFormat="1" applyFont="1" applyFill="1" applyBorder="1" applyAlignment="1">
      <alignment horizontal="right" vertical="center"/>
    </xf>
    <xf numFmtId="165" fontId="31" fillId="24" borderId="55" xfId="0" applyNumberFormat="1" applyFont="1" applyFill="1" applyBorder="1" applyAlignment="1">
      <alignment horizontal="right" vertical="center"/>
    </xf>
    <xf numFmtId="165" fontId="8" fillId="24" borderId="55" xfId="0" applyNumberFormat="1" applyFont="1" applyFill="1" applyBorder="1" applyAlignment="1">
      <alignment horizontal="right" vertical="center" wrapText="1"/>
    </xf>
    <xf numFmtId="164" fontId="4" fillId="24" borderId="55" xfId="0" applyNumberFormat="1" applyFont="1" applyFill="1" applyBorder="1" applyAlignment="1">
      <alignment horizontal="right" vertical="center"/>
    </xf>
    <xf numFmtId="3" fontId="8" fillId="24" borderId="55" xfId="0" applyNumberFormat="1" applyFont="1" applyFill="1" applyBorder="1" applyAlignment="1">
      <alignment horizontal="right" vertical="center"/>
    </xf>
    <xf numFmtId="4" fontId="32" fillId="24" borderId="55" xfId="0" applyNumberFormat="1" applyFont="1" applyFill="1" applyBorder="1" applyAlignment="1">
      <alignment horizontal="right" vertical="center"/>
    </xf>
    <xf numFmtId="3" fontId="28" fillId="24" borderId="55" xfId="0" applyNumberFormat="1" applyFont="1" applyFill="1" applyBorder="1" applyAlignment="1">
      <alignment horizontal="right" vertical="center"/>
    </xf>
    <xf numFmtId="164" fontId="32" fillId="24" borderId="55" xfId="0" applyNumberFormat="1" applyFont="1" applyFill="1" applyBorder="1" applyAlignment="1">
      <alignment horizontal="right" vertical="center"/>
    </xf>
    <xf numFmtId="164" fontId="32" fillId="24" borderId="55" xfId="0" applyNumberFormat="1" applyFont="1" applyFill="1" applyBorder="1" applyAlignment="1">
      <alignment horizontal="center" vertical="center"/>
    </xf>
    <xf numFmtId="165" fontId="28" fillId="24" borderId="55" xfId="0" applyNumberFormat="1" applyFont="1" applyFill="1" applyBorder="1" applyAlignment="1">
      <alignment horizontal="right" vertical="center"/>
    </xf>
    <xf numFmtId="165" fontId="33" fillId="24" borderId="55" xfId="0" applyNumberFormat="1" applyFont="1" applyFill="1" applyBorder="1" applyAlignment="1">
      <alignment horizontal="right" vertical="center"/>
    </xf>
    <xf numFmtId="3" fontId="7" fillId="24" borderId="55" xfId="0" applyNumberFormat="1" applyFont="1" applyFill="1" applyBorder="1" applyAlignment="1">
      <alignment vertical="center"/>
    </xf>
    <xf numFmtId="165" fontId="7" fillId="24" borderId="55" xfId="0" applyNumberFormat="1" applyFont="1" applyFill="1" applyBorder="1" applyAlignment="1">
      <alignment vertical="center"/>
    </xf>
    <xf numFmtId="3" fontId="7" fillId="24" borderId="96" xfId="0" applyNumberFormat="1" applyFont="1" applyFill="1" applyBorder="1" applyAlignment="1">
      <alignment vertical="center"/>
    </xf>
    <xf numFmtId="165" fontId="34" fillId="24" borderId="6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5" fillId="0" borderId="1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10" borderId="53" xfId="0" applyFont="1" applyFill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10" borderId="56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3" fontId="35" fillId="0" borderId="3" xfId="0" applyNumberFormat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center" vertical="center"/>
    </xf>
    <xf numFmtId="3" fontId="4" fillId="0" borderId="99" xfId="0" applyNumberFormat="1" applyFont="1" applyFill="1" applyBorder="1" applyAlignment="1">
      <alignment horizontal="center" vertical="center"/>
    </xf>
    <xf numFmtId="3" fontId="4" fillId="0" borderId="5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3" fontId="36" fillId="0" borderId="3" xfId="0" applyNumberFormat="1" applyFont="1" applyFill="1" applyBorder="1" applyAlignment="1">
      <alignment horizontal="center" vertical="center" wrapText="1"/>
    </xf>
    <xf numFmtId="0" fontId="37" fillId="0" borderId="3" xfId="1" applyFont="1" applyFill="1" applyBorder="1" applyAlignment="1" applyProtection="1">
      <alignment horizontal="center" vertical="center"/>
    </xf>
    <xf numFmtId="3" fontId="34" fillId="0" borderId="3" xfId="1" applyNumberFormat="1" applyFont="1" applyFill="1" applyBorder="1" applyAlignment="1" applyProtection="1">
      <alignment horizontal="center" vertical="center"/>
    </xf>
    <xf numFmtId="3" fontId="34" fillId="0" borderId="5" xfId="0" applyNumberFormat="1" applyFont="1" applyFill="1" applyBorder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/>
    </xf>
    <xf numFmtId="3" fontId="34" fillId="0" borderId="3" xfId="0" applyNumberFormat="1" applyFont="1" applyFill="1" applyBorder="1" applyAlignment="1">
      <alignment horizontal="center" vertical="center"/>
    </xf>
    <xf numFmtId="3" fontId="34" fillId="0" borderId="14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 vertical="center"/>
    </xf>
    <xf numFmtId="3" fontId="34" fillId="0" borderId="6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4" fontId="34" fillId="0" borderId="3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34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 applyProtection="1">
      <alignment horizontal="center" vertical="center"/>
    </xf>
    <xf numFmtId="3" fontId="35" fillId="0" borderId="3" xfId="0" applyNumberFormat="1" applyFont="1" applyFill="1" applyBorder="1" applyAlignment="1">
      <alignment horizontal="center" vertical="center" wrapText="1"/>
    </xf>
    <xf numFmtId="0" fontId="38" fillId="10" borderId="5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3" fontId="3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10" borderId="72" xfId="0" applyFont="1" applyFill="1" applyBorder="1" applyAlignment="1">
      <alignment horizontal="left" vertical="center" wrapText="1"/>
    </xf>
    <xf numFmtId="0" fontId="39" fillId="22" borderId="12" xfId="0" applyFont="1" applyFill="1" applyBorder="1" applyAlignment="1">
      <alignment horizontal="center" vertical="center" wrapText="1"/>
    </xf>
    <xf numFmtId="0" fontId="39" fillId="22" borderId="70" xfId="0" applyFont="1" applyFill="1" applyBorder="1" applyAlignment="1">
      <alignment horizontal="left" vertical="center" wrapText="1"/>
    </xf>
    <xf numFmtId="0" fontId="39" fillId="22" borderId="53" xfId="0" applyFont="1" applyFill="1" applyBorder="1" applyAlignment="1">
      <alignment horizontal="left" vertical="center" wrapText="1"/>
    </xf>
    <xf numFmtId="0" fontId="4" fillId="0" borderId="0" xfId="0" applyFont="1" applyBorder="1"/>
    <xf numFmtId="0" fontId="35" fillId="22" borderId="3" xfId="0" applyFont="1" applyFill="1" applyBorder="1" applyAlignment="1">
      <alignment horizontal="center" vertical="center" wrapText="1"/>
    </xf>
    <xf numFmtId="0" fontId="35" fillId="22" borderId="5" xfId="0" applyFont="1" applyFill="1" applyBorder="1" applyAlignment="1">
      <alignment horizontal="left" vertical="center" wrapText="1"/>
    </xf>
    <xf numFmtId="0" fontId="35" fillId="22" borderId="56" xfId="0" applyFont="1" applyFill="1" applyBorder="1" applyAlignment="1">
      <alignment horizontal="left" vertical="center" wrapText="1"/>
    </xf>
    <xf numFmtId="3" fontId="36" fillId="0" borderId="3" xfId="0" applyNumberFormat="1" applyFont="1" applyBorder="1" applyAlignment="1">
      <alignment horizontal="center" vertical="center" wrapText="1"/>
    </xf>
    <xf numFmtId="0" fontId="37" fillId="0" borderId="3" xfId="1" applyFont="1" applyBorder="1" applyAlignment="1" applyProtection="1">
      <alignment horizontal="center" vertical="center"/>
    </xf>
    <xf numFmtId="3" fontId="34" fillId="0" borderId="5" xfId="1" applyNumberFormat="1" applyFont="1" applyFill="1" applyBorder="1" applyAlignment="1" applyProtection="1">
      <alignment horizontal="center" vertical="center"/>
    </xf>
    <xf numFmtId="0" fontId="35" fillId="22" borderId="2" xfId="0" applyFont="1" applyFill="1" applyBorder="1" applyAlignment="1">
      <alignment horizontal="center" vertical="center" wrapText="1"/>
    </xf>
    <xf numFmtId="0" fontId="35" fillId="22" borderId="24" xfId="0" applyFont="1" applyFill="1" applyBorder="1" applyAlignment="1">
      <alignment horizontal="left" vertical="center" wrapText="1"/>
    </xf>
    <xf numFmtId="0" fontId="35" fillId="22" borderId="72" xfId="0" applyFont="1" applyFill="1" applyBorder="1" applyAlignment="1">
      <alignment horizontal="left" vertical="center" wrapText="1"/>
    </xf>
    <xf numFmtId="0" fontId="35" fillId="23" borderId="12" xfId="0" applyFont="1" applyFill="1" applyBorder="1" applyAlignment="1">
      <alignment horizontal="center" vertical="center" wrapText="1"/>
    </xf>
    <xf numFmtId="0" fontId="35" fillId="23" borderId="70" xfId="0" applyFont="1" applyFill="1" applyBorder="1" applyAlignment="1">
      <alignment horizontal="left" vertical="center" wrapText="1"/>
    </xf>
    <xf numFmtId="0" fontId="35" fillId="23" borderId="53" xfId="0" applyFont="1" applyFill="1" applyBorder="1" applyAlignment="1">
      <alignment horizontal="left" vertical="center" wrapText="1"/>
    </xf>
    <xf numFmtId="0" fontId="35" fillId="23" borderId="3" xfId="0" applyFont="1" applyFill="1" applyBorder="1" applyAlignment="1">
      <alignment horizontal="center" vertical="center" wrapText="1"/>
    </xf>
    <xf numFmtId="0" fontId="35" fillId="23" borderId="5" xfId="0" applyFont="1" applyFill="1" applyBorder="1" applyAlignment="1">
      <alignment horizontal="left" vertical="center" wrapText="1"/>
    </xf>
    <xf numFmtId="0" fontId="35" fillId="23" borderId="56" xfId="0" applyFont="1" applyFill="1" applyBorder="1" applyAlignment="1">
      <alignment horizontal="left" vertical="center" wrapText="1"/>
    </xf>
    <xf numFmtId="0" fontId="35" fillId="23" borderId="2" xfId="0" applyFont="1" applyFill="1" applyBorder="1" applyAlignment="1">
      <alignment horizontal="center" vertical="center" wrapText="1"/>
    </xf>
    <xf numFmtId="0" fontId="35" fillId="23" borderId="24" xfId="0" applyFont="1" applyFill="1" applyBorder="1" applyAlignment="1">
      <alignment horizontal="left" vertical="center" wrapText="1"/>
    </xf>
    <xf numFmtId="0" fontId="35" fillId="23" borderId="72" xfId="0" applyFont="1" applyFill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3" fontId="35" fillId="0" borderId="2" xfId="0" applyNumberFormat="1" applyFont="1" applyBorder="1" applyAlignment="1">
      <alignment horizontal="center" vertical="center" wrapText="1"/>
    </xf>
    <xf numFmtId="3" fontId="4" fillId="0" borderId="24" xfId="1" applyNumberFormat="1" applyFont="1" applyFill="1" applyBorder="1" applyAlignment="1" applyProtection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100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5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/>
    </xf>
    <xf numFmtId="164" fontId="30" fillId="0" borderId="2" xfId="0" applyNumberFormat="1" applyFont="1" applyFill="1" applyBorder="1" applyAlignment="1">
      <alignment horizontal="center" vertical="center"/>
    </xf>
    <xf numFmtId="164" fontId="30" fillId="0" borderId="4" xfId="0" applyNumberFormat="1" applyFont="1" applyFill="1" applyBorder="1" applyAlignment="1">
      <alignment horizontal="center" vertical="center"/>
    </xf>
    <xf numFmtId="3" fontId="28" fillId="0" borderId="4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3" fontId="8" fillId="0" borderId="24" xfId="0" applyNumberFormat="1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49" fontId="8" fillId="21" borderId="70" xfId="0" applyNumberFormat="1" applyFont="1" applyFill="1" applyBorder="1" applyAlignment="1">
      <alignment horizontal="left" vertical="center"/>
    </xf>
    <xf numFmtId="0" fontId="8" fillId="21" borderId="53" xfId="0" applyFont="1" applyFill="1" applyBorder="1" applyAlignment="1">
      <alignment horizontal="left" vertical="center" wrapText="1"/>
    </xf>
    <xf numFmtId="49" fontId="8" fillId="21" borderId="97" xfId="0" applyNumberFormat="1" applyFont="1" applyFill="1" applyBorder="1" applyAlignment="1">
      <alignment horizontal="left" vertical="center"/>
    </xf>
    <xf numFmtId="49" fontId="8" fillId="21" borderId="12" xfId="0" applyNumberFormat="1" applyFont="1" applyFill="1" applyBorder="1" applyAlignment="1">
      <alignment horizontal="left" vertical="center"/>
    </xf>
    <xf numFmtId="49" fontId="8" fillId="21" borderId="12" xfId="0" applyNumberFormat="1" applyFont="1" applyFill="1" applyBorder="1" applyAlignment="1">
      <alignment horizontal="left" vertical="center" wrapText="1"/>
    </xf>
    <xf numFmtId="3" fontId="8" fillId="21" borderId="12" xfId="0" applyNumberFormat="1" applyFont="1" applyFill="1" applyBorder="1" applyAlignment="1">
      <alignment horizontal="center" vertical="center"/>
    </xf>
    <xf numFmtId="3" fontId="40" fillId="21" borderId="12" xfId="1" applyNumberFormat="1" applyFont="1" applyFill="1" applyBorder="1" applyAlignment="1" applyProtection="1">
      <alignment horizontal="center" vertical="center"/>
    </xf>
    <xf numFmtId="3" fontId="8" fillId="21" borderId="12" xfId="1" applyNumberFormat="1" applyFont="1" applyFill="1" applyBorder="1" applyAlignment="1" applyProtection="1">
      <alignment horizontal="center" vertical="center"/>
    </xf>
    <xf numFmtId="3" fontId="8" fillId="21" borderId="70" xfId="0" applyNumberFormat="1" applyFont="1" applyFill="1" applyBorder="1" applyAlignment="1">
      <alignment horizontal="center" vertical="center"/>
    </xf>
    <xf numFmtId="3" fontId="8" fillId="21" borderId="1" xfId="0" applyNumberFormat="1" applyFont="1" applyFill="1" applyBorder="1" applyAlignment="1">
      <alignment horizontal="center" vertical="center"/>
    </xf>
    <xf numFmtId="3" fontId="8" fillId="21" borderId="97" xfId="0" applyNumberFormat="1" applyFont="1" applyFill="1" applyBorder="1" applyAlignment="1">
      <alignment horizontal="center" vertical="center"/>
    </xf>
    <xf numFmtId="4" fontId="4" fillId="21" borderId="12" xfId="0" applyNumberFormat="1" applyFont="1" applyFill="1" applyBorder="1" applyAlignment="1">
      <alignment horizontal="center" vertical="center"/>
    </xf>
    <xf numFmtId="4" fontId="8" fillId="21" borderId="12" xfId="0" applyNumberFormat="1" applyFont="1" applyFill="1" applyBorder="1" applyAlignment="1">
      <alignment horizontal="center" vertical="center"/>
    </xf>
    <xf numFmtId="4" fontId="30" fillId="21" borderId="12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9" fontId="8" fillId="3" borderId="49" xfId="0" applyNumberFormat="1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 wrapText="1"/>
    </xf>
    <xf numFmtId="49" fontId="8" fillId="2" borderId="98" xfId="0" applyNumberFormat="1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/>
    </xf>
    <xf numFmtId="3" fontId="40" fillId="2" borderId="16" xfId="1" applyNumberFormat="1" applyFont="1" applyFill="1" applyBorder="1" applyAlignment="1" applyProtection="1">
      <alignment horizontal="center" vertical="center"/>
    </xf>
    <xf numFmtId="3" fontId="8" fillId="2" borderId="16" xfId="1" applyNumberFormat="1" applyFont="1" applyFill="1" applyBorder="1" applyAlignment="1" applyProtection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64" xfId="0" applyNumberFormat="1" applyFont="1" applyFill="1" applyBorder="1" applyAlignment="1">
      <alignment horizontal="center" vertical="center"/>
    </xf>
    <xf numFmtId="3" fontId="8" fillId="2" borderId="98" xfId="0" applyNumberFormat="1" applyFont="1" applyFill="1" applyBorder="1" applyAlignment="1">
      <alignment horizontal="center" vertical="center"/>
    </xf>
    <xf numFmtId="4" fontId="42" fillId="2" borderId="16" xfId="0" applyNumberFormat="1" applyFont="1" applyFill="1" applyBorder="1" applyAlignment="1">
      <alignment horizontal="center" vertical="center"/>
    </xf>
    <xf numFmtId="4" fontId="43" fillId="2" borderId="16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3" fontId="43" fillId="2" borderId="16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left" vertical="center" wrapText="1"/>
    </xf>
    <xf numFmtId="0" fontId="35" fillId="6" borderId="68" xfId="0" applyFont="1" applyFill="1" applyBorder="1" applyAlignment="1">
      <alignment horizontal="left" vertical="center" wrapText="1"/>
    </xf>
    <xf numFmtId="3" fontId="4" fillId="0" borderId="68" xfId="0" applyNumberFormat="1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 wrapText="1"/>
    </xf>
    <xf numFmtId="0" fontId="35" fillId="6" borderId="5" xfId="0" applyFont="1" applyFill="1" applyBorder="1" applyAlignment="1">
      <alignment horizontal="left" vertical="center" wrapText="1"/>
    </xf>
    <xf numFmtId="0" fontId="35" fillId="6" borderId="56" xfId="0" applyFont="1" applyFill="1" applyBorder="1" applyAlignment="1">
      <alignment horizontal="left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24" xfId="0" applyFont="1" applyFill="1" applyBorder="1" applyAlignment="1">
      <alignment horizontal="left" vertical="center" wrapText="1"/>
    </xf>
    <xf numFmtId="0" fontId="35" fillId="6" borderId="72" xfId="0" applyFont="1" applyFill="1" applyBorder="1" applyAlignment="1">
      <alignment horizontal="left" vertical="center" wrapText="1"/>
    </xf>
    <xf numFmtId="3" fontId="4" fillId="0" borderId="2" xfId="1" applyNumberFormat="1" applyFont="1" applyFill="1" applyBorder="1" applyAlignment="1" applyProtection="1">
      <alignment horizontal="center" vertical="center"/>
    </xf>
    <xf numFmtId="3" fontId="4" fillId="0" borderId="72" xfId="0" applyNumberFormat="1" applyFont="1" applyFill="1" applyBorder="1" applyAlignment="1">
      <alignment horizontal="center" vertical="center"/>
    </xf>
    <xf numFmtId="0" fontId="41" fillId="21" borderId="3" xfId="0" applyFont="1" applyFill="1" applyBorder="1" applyAlignment="1">
      <alignment horizontal="center" vertical="center" wrapText="1"/>
    </xf>
    <xf numFmtId="0" fontId="41" fillId="21" borderId="3" xfId="0" applyFont="1" applyFill="1" applyBorder="1" applyAlignment="1">
      <alignment horizontal="center" vertical="center"/>
    </xf>
    <xf numFmtId="49" fontId="41" fillId="21" borderId="5" xfId="0" applyNumberFormat="1" applyFont="1" applyFill="1" applyBorder="1" applyAlignment="1">
      <alignment horizontal="left" vertical="center"/>
    </xf>
    <xf numFmtId="0" fontId="41" fillId="21" borderId="56" xfId="0" applyFont="1" applyFill="1" applyBorder="1" applyAlignment="1">
      <alignment horizontal="left" vertical="center" wrapText="1"/>
    </xf>
    <xf numFmtId="49" fontId="41" fillId="21" borderId="97" xfId="0" applyNumberFormat="1" applyFont="1" applyFill="1" applyBorder="1" applyAlignment="1">
      <alignment horizontal="left" vertical="center"/>
    </xf>
    <xf numFmtId="49" fontId="41" fillId="21" borderId="12" xfId="0" applyNumberFormat="1" applyFont="1" applyFill="1" applyBorder="1" applyAlignment="1">
      <alignment horizontal="left" vertical="center"/>
    </xf>
    <xf numFmtId="49" fontId="41" fillId="21" borderId="12" xfId="0" applyNumberFormat="1" applyFont="1" applyFill="1" applyBorder="1" applyAlignment="1">
      <alignment horizontal="left" vertical="center" wrapText="1"/>
    </xf>
    <xf numFmtId="3" fontId="41" fillId="21" borderId="12" xfId="0" applyNumberFormat="1" applyFont="1" applyFill="1" applyBorder="1" applyAlignment="1">
      <alignment horizontal="center" vertical="center"/>
    </xf>
    <xf numFmtId="3" fontId="4" fillId="21" borderId="12" xfId="1" applyNumberFormat="1" applyFont="1" applyFill="1" applyBorder="1" applyAlignment="1" applyProtection="1">
      <alignment horizontal="center" vertical="center"/>
    </xf>
    <xf numFmtId="3" fontId="4" fillId="21" borderId="12" xfId="0" applyNumberFormat="1" applyFont="1" applyFill="1" applyBorder="1" applyAlignment="1">
      <alignment horizontal="center" vertical="center"/>
    </xf>
    <xf numFmtId="165" fontId="8" fillId="21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49" fontId="41" fillId="3" borderId="24" xfId="0" applyNumberFormat="1" applyFont="1" applyFill="1" applyBorder="1" applyAlignment="1">
      <alignment horizontal="left" vertical="center"/>
    </xf>
    <xf numFmtId="0" fontId="41" fillId="3" borderId="72" xfId="0" applyFont="1" applyFill="1" applyBorder="1" applyAlignment="1">
      <alignment horizontal="left" vertical="center" wrapText="1"/>
    </xf>
    <xf numFmtId="49" fontId="41" fillId="2" borderId="98" xfId="0" applyNumberFormat="1" applyFont="1" applyFill="1" applyBorder="1" applyAlignment="1">
      <alignment horizontal="left" vertical="center"/>
    </xf>
    <xf numFmtId="49" fontId="41" fillId="2" borderId="16" xfId="0" applyNumberFormat="1" applyFont="1" applyFill="1" applyBorder="1" applyAlignment="1">
      <alignment horizontal="left" vertical="center"/>
    </xf>
    <xf numFmtId="49" fontId="41" fillId="2" borderId="16" xfId="0" applyNumberFormat="1" applyFont="1" applyFill="1" applyBorder="1" applyAlignment="1">
      <alignment horizontal="left" vertical="center" wrapText="1"/>
    </xf>
    <xf numFmtId="3" fontId="41" fillId="2" borderId="16" xfId="0" applyNumberFormat="1" applyFont="1" applyFill="1" applyBorder="1" applyAlignment="1">
      <alignment horizontal="center" vertical="center"/>
    </xf>
    <xf numFmtId="3" fontId="4" fillId="2" borderId="16" xfId="1" applyNumberFormat="1" applyFont="1" applyFill="1" applyBorder="1" applyAlignment="1" applyProtection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164" fontId="41" fillId="2" borderId="16" xfId="0" applyNumberFormat="1" applyFont="1" applyFill="1" applyBorder="1" applyAlignment="1">
      <alignment horizontal="center" vertical="center"/>
    </xf>
    <xf numFmtId="4" fontId="31" fillId="2" borderId="16" xfId="0" applyNumberFormat="1" applyFont="1" applyFill="1" applyBorder="1" applyAlignment="1">
      <alignment horizontal="center" vertical="center"/>
    </xf>
    <xf numFmtId="165" fontId="41" fillId="2" borderId="16" xfId="0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46" fillId="0" borderId="70" xfId="0" applyFont="1" applyFill="1" applyBorder="1" applyAlignment="1">
      <alignment horizontal="left" vertical="center" wrapText="1"/>
    </xf>
    <xf numFmtId="3" fontId="4" fillId="0" borderId="68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46" fillId="0" borderId="49" xfId="0" applyFont="1" applyFill="1" applyBorder="1" applyAlignment="1">
      <alignment horizontal="left" vertical="center"/>
    </xf>
    <xf numFmtId="0" fontId="35" fillId="10" borderId="57" xfId="0" applyFont="1" applyFill="1" applyBorder="1" applyAlignment="1">
      <alignment horizontal="left" vertical="center" wrapText="1"/>
    </xf>
    <xf numFmtId="3" fontId="4" fillId="0" borderId="72" xfId="0" applyNumberFormat="1" applyFont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3" fontId="7" fillId="0" borderId="0" xfId="0" applyNumberFormat="1" applyFont="1"/>
    <xf numFmtId="165" fontId="7" fillId="0" borderId="0" xfId="0" applyNumberFormat="1" applyFont="1"/>
    <xf numFmtId="3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8" fillId="0" borderId="0" xfId="0" applyFont="1"/>
    <xf numFmtId="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/>
    <xf numFmtId="0" fontId="34" fillId="0" borderId="0" xfId="0" applyFont="1"/>
    <xf numFmtId="0" fontId="34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3" fontId="49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49" fontId="4" fillId="0" borderId="0" xfId="0" applyNumberFormat="1" applyFont="1"/>
    <xf numFmtId="3" fontId="8" fillId="10" borderId="58" xfId="0" applyNumberFormat="1" applyFont="1" applyFill="1" applyBorder="1" applyAlignment="1">
      <alignment horizontal="center" vertical="center" wrapText="1"/>
    </xf>
    <xf numFmtId="3" fontId="8" fillId="10" borderId="94" xfId="0" applyNumberFormat="1" applyFont="1" applyFill="1" applyBorder="1" applyAlignment="1">
      <alignment horizontal="center" vertical="center" wrapText="1"/>
    </xf>
    <xf numFmtId="3" fontId="7" fillId="0" borderId="94" xfId="0" applyNumberFormat="1" applyFont="1" applyFill="1" applyBorder="1" applyAlignment="1">
      <alignment horizontal="center" vertical="center" wrapText="1"/>
    </xf>
    <xf numFmtId="3" fontId="8" fillId="10" borderId="104" xfId="0" applyNumberFormat="1" applyFont="1" applyFill="1" applyBorder="1" applyAlignment="1">
      <alignment horizontal="center" vertical="center" wrapText="1"/>
    </xf>
    <xf numFmtId="3" fontId="8" fillId="10" borderId="94" xfId="0" applyNumberFormat="1" applyFont="1" applyFill="1" applyBorder="1" applyAlignment="1">
      <alignment horizontal="center" vertical="center"/>
    </xf>
    <xf numFmtId="3" fontId="8" fillId="10" borderId="59" xfId="0" applyNumberFormat="1" applyFont="1" applyFill="1" applyBorder="1" applyAlignment="1">
      <alignment horizontal="center" vertical="center"/>
    </xf>
    <xf numFmtId="3" fontId="8" fillId="10" borderId="78" xfId="0" applyNumberFormat="1" applyFont="1" applyFill="1" applyBorder="1" applyAlignment="1">
      <alignment horizontal="center" vertical="center"/>
    </xf>
    <xf numFmtId="3" fontId="8" fillId="10" borderId="78" xfId="0" applyNumberFormat="1" applyFont="1" applyFill="1" applyBorder="1" applyAlignment="1">
      <alignment horizontal="center" vertical="center" wrapText="1"/>
    </xf>
    <xf numFmtId="3" fontId="44" fillId="2" borderId="49" xfId="0" applyNumberFormat="1" applyFont="1" applyFill="1" applyBorder="1" applyAlignment="1">
      <alignment horizontal="right" vertical="center"/>
    </xf>
    <xf numFmtId="3" fontId="41" fillId="21" borderId="53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0" fillId="15" borderId="60" xfId="0" applyFont="1" applyFill="1" applyBorder="1" applyAlignment="1">
      <alignment horizontal="center" vertical="center" wrapText="1"/>
    </xf>
    <xf numFmtId="165" fontId="3" fillId="24" borderId="60" xfId="0" applyNumberFormat="1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8" borderId="56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3" fontId="8" fillId="2" borderId="57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3" fontId="41" fillId="21" borderId="58" xfId="0" applyNumberFormat="1" applyFont="1" applyFill="1" applyBorder="1" applyAlignment="1">
      <alignment horizontal="center" vertical="center"/>
    </xf>
    <xf numFmtId="3" fontId="45" fillId="2" borderId="69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6" fontId="16" fillId="6" borderId="18" xfId="0" applyNumberFormat="1" applyFont="1" applyFill="1" applyBorder="1" applyAlignment="1">
      <alignment horizontal="center" vertical="center"/>
    </xf>
    <xf numFmtId="0" fontId="13" fillId="0" borderId="71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3" fontId="7" fillId="8" borderId="3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3" fontId="10" fillId="26" borderId="4" xfId="0" applyNumberFormat="1" applyFont="1" applyFill="1" applyBorder="1" applyAlignment="1">
      <alignment horizontal="left" wrapText="1"/>
    </xf>
    <xf numFmtId="0" fontId="8" fillId="14" borderId="8" xfId="0" applyFont="1" applyFill="1" applyBorder="1" applyAlignment="1">
      <alignment vertical="center" wrapText="1"/>
    </xf>
    <xf numFmtId="0" fontId="52" fillId="26" borderId="4" xfId="0" applyFont="1" applyFill="1" applyBorder="1" applyAlignment="1">
      <alignment horizontal="left" wrapText="1"/>
    </xf>
    <xf numFmtId="166" fontId="8" fillId="0" borderId="5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4" fontId="4" fillId="0" borderId="16" xfId="0" applyNumberFormat="1" applyFont="1" applyBorder="1" applyAlignment="1">
      <alignment vertical="center" wrapText="1"/>
    </xf>
    <xf numFmtId="3" fontId="8" fillId="0" borderId="16" xfId="0" quotePrefix="1" applyNumberFormat="1" applyFont="1" applyBorder="1" applyAlignment="1">
      <alignment vertical="center" wrapText="1"/>
    </xf>
    <xf numFmtId="4" fontId="30" fillId="0" borderId="51" xfId="0" quotePrefix="1" applyNumberFormat="1" applyFont="1" applyBorder="1" applyAlignment="1">
      <alignment vertical="center" wrapText="1"/>
    </xf>
    <xf numFmtId="3" fontId="28" fillId="0" borderId="51" xfId="0" quotePrefix="1" applyNumberFormat="1" applyFont="1" applyBorder="1" applyAlignment="1">
      <alignment vertical="center" wrapText="1"/>
    </xf>
    <xf numFmtId="164" fontId="30" fillId="0" borderId="51" xfId="0" applyNumberFormat="1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8" fillId="0" borderId="84" xfId="0" quotePrefix="1" applyFont="1" applyBorder="1" applyAlignment="1">
      <alignment horizontal="center" vertical="center" wrapText="1"/>
    </xf>
    <xf numFmtId="0" fontId="4" fillId="27" borderId="54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/>
    </xf>
    <xf numFmtId="49" fontId="4" fillId="27" borderId="10" xfId="0" applyNumberFormat="1" applyFont="1" applyFill="1" applyBorder="1"/>
    <xf numFmtId="0" fontId="4" fillId="27" borderId="10" xfId="0" applyFont="1" applyFill="1" applyBorder="1" applyAlignment="1">
      <alignment horizontal="left" vertical="top" wrapText="1"/>
    </xf>
    <xf numFmtId="3" fontId="4" fillId="27" borderId="10" xfId="0" applyNumberFormat="1" applyFont="1" applyFill="1" applyBorder="1" applyAlignment="1">
      <alignment horizontal="left" vertical="top" wrapText="1"/>
    </xf>
    <xf numFmtId="3" fontId="4" fillId="27" borderId="10" xfId="0" applyNumberFormat="1" applyFont="1" applyFill="1" applyBorder="1" applyAlignment="1">
      <alignment horizontal="center" vertical="center"/>
    </xf>
    <xf numFmtId="3" fontId="4" fillId="27" borderId="10" xfId="0" applyNumberFormat="1" applyFont="1" applyFill="1" applyBorder="1" applyAlignment="1">
      <alignment horizontal="right" vertical="center"/>
    </xf>
    <xf numFmtId="0" fontId="31" fillId="27" borderId="10" xfId="0" applyFont="1" applyFill="1" applyBorder="1" applyAlignment="1">
      <alignment horizontal="right" vertical="center"/>
    </xf>
    <xf numFmtId="0" fontId="4" fillId="27" borderId="10" xfId="0" applyFont="1" applyFill="1" applyBorder="1" applyAlignment="1">
      <alignment horizontal="right" vertical="center"/>
    </xf>
    <xf numFmtId="164" fontId="4" fillId="27" borderId="10" xfId="0" applyNumberFormat="1" applyFont="1" applyFill="1" applyBorder="1" applyAlignment="1">
      <alignment horizontal="right" vertical="center"/>
    </xf>
    <xf numFmtId="3" fontId="28" fillId="27" borderId="10" xfId="0" applyNumberFormat="1" applyFont="1" applyFill="1" applyBorder="1" applyAlignment="1">
      <alignment horizontal="right" vertical="center"/>
    </xf>
    <xf numFmtId="4" fontId="30" fillId="27" borderId="10" xfId="0" applyNumberFormat="1" applyFont="1" applyFill="1" applyBorder="1" applyAlignment="1">
      <alignment horizontal="right" vertical="center"/>
    </xf>
    <xf numFmtId="164" fontId="30" fillId="27" borderId="10" xfId="0" applyNumberFormat="1" applyFont="1" applyFill="1" applyBorder="1" applyAlignment="1">
      <alignment horizontal="right" vertical="center"/>
    </xf>
    <xf numFmtId="164" fontId="30" fillId="27" borderId="10" xfId="0" applyNumberFormat="1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right" vertical="center"/>
    </xf>
    <xf numFmtId="0" fontId="4" fillId="27" borderId="10" xfId="0" applyFont="1" applyFill="1" applyBorder="1"/>
    <xf numFmtId="3" fontId="7" fillId="27" borderId="10" xfId="0" applyNumberFormat="1" applyFont="1" applyFill="1" applyBorder="1"/>
    <xf numFmtId="165" fontId="7" fillId="27" borderId="10" xfId="0" applyNumberFormat="1" applyFont="1" applyFill="1" applyBorder="1"/>
    <xf numFmtId="0" fontId="3" fillId="27" borderId="18" xfId="0" applyFont="1" applyFill="1" applyBorder="1" applyAlignment="1">
      <alignment horizontal="left" vertical="center" wrapText="1"/>
    </xf>
    <xf numFmtId="0" fontId="13" fillId="27" borderId="54" xfId="0" applyFont="1" applyFill="1" applyBorder="1" applyAlignment="1">
      <alignment horizontal="center" vertical="center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 vertical="center"/>
    </xf>
    <xf numFmtId="3" fontId="13" fillId="27" borderId="18" xfId="0" applyNumberFormat="1" applyFont="1" applyFill="1" applyBorder="1" applyAlignment="1">
      <alignment horizontal="center" vertical="center"/>
    </xf>
    <xf numFmtId="0" fontId="20" fillId="22" borderId="10" xfId="0" applyFont="1" applyFill="1" applyBorder="1" applyAlignment="1">
      <alignment horizontal="center"/>
    </xf>
    <xf numFmtId="3" fontId="20" fillId="22" borderId="10" xfId="0" applyNumberFormat="1" applyFont="1" applyFill="1" applyBorder="1" applyAlignment="1">
      <alignment horizontal="center" vertical="center"/>
    </xf>
    <xf numFmtId="0" fontId="20" fillId="22" borderId="18" xfId="0" applyFont="1" applyFill="1" applyBorder="1"/>
    <xf numFmtId="0" fontId="51" fillId="22" borderId="54" xfId="0" applyFont="1" applyFill="1" applyBorder="1" applyAlignment="1"/>
    <xf numFmtId="0" fontId="51" fillId="22" borderId="10" xfId="0" applyFont="1" applyFill="1" applyBorder="1" applyAlignment="1"/>
    <xf numFmtId="3" fontId="20" fillId="0" borderId="0" xfId="0" applyNumberFormat="1" applyFont="1" applyAlignment="1">
      <alignment horizontal="center" vertical="center"/>
    </xf>
    <xf numFmtId="3" fontId="13" fillId="0" borderId="56" xfId="0" applyNumberFormat="1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6" borderId="3" xfId="0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165" fontId="4" fillId="0" borderId="60" xfId="0" applyNumberFormat="1" applyFont="1" applyBorder="1" applyAlignment="1">
      <alignment horizontal="center" vertical="center"/>
    </xf>
    <xf numFmtId="0" fontId="41" fillId="3" borderId="16" xfId="0" applyFont="1" applyFill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center" vertical="center" textRotation="90" wrapText="1"/>
    </xf>
    <xf numFmtId="0" fontId="8" fillId="3" borderId="16" xfId="0" applyFont="1" applyFill="1" applyBorder="1" applyAlignment="1">
      <alignment horizontal="center" vertical="center" textRotation="90" wrapText="1"/>
    </xf>
    <xf numFmtId="3" fontId="35" fillId="0" borderId="1" xfId="0" applyNumberFormat="1" applyFont="1" applyFill="1" applyBorder="1" applyAlignment="1">
      <alignment horizontal="center" vertical="center" wrapText="1"/>
    </xf>
    <xf numFmtId="3" fontId="35" fillId="0" borderId="2" xfId="0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0" fontId="41" fillId="21" borderId="48" xfId="0" applyFont="1" applyFill="1" applyBorder="1" applyAlignment="1">
      <alignment horizontal="center" vertical="center" wrapText="1"/>
    </xf>
    <xf numFmtId="0" fontId="41" fillId="21" borderId="4" xfId="0" applyFont="1" applyFill="1" applyBorder="1" applyAlignment="1">
      <alignment horizontal="center" vertical="center"/>
    </xf>
    <xf numFmtId="49" fontId="41" fillId="21" borderId="4" xfId="0" applyNumberFormat="1" applyFont="1" applyFill="1" applyBorder="1"/>
    <xf numFmtId="0" fontId="41" fillId="21" borderId="106" xfId="0" applyFont="1" applyFill="1" applyBorder="1" applyAlignment="1">
      <alignment horizontal="left" vertical="center" wrapText="1"/>
    </xf>
    <xf numFmtId="49" fontId="41" fillId="21" borderId="27" xfId="0" applyNumberFormat="1" applyFont="1" applyFill="1" applyBorder="1"/>
    <xf numFmtId="49" fontId="41" fillId="21" borderId="27" xfId="0" applyNumberFormat="1" applyFont="1" applyFill="1" applyBorder="1" applyAlignment="1">
      <alignment wrapText="1"/>
    </xf>
    <xf numFmtId="3" fontId="41" fillId="21" borderId="27" xfId="0" applyNumberFormat="1" applyFont="1" applyFill="1" applyBorder="1" applyAlignment="1">
      <alignment horizontal="center"/>
    </xf>
    <xf numFmtId="3" fontId="41" fillId="21" borderId="27" xfId="0" applyNumberFormat="1" applyFont="1" applyFill="1" applyBorder="1" applyAlignment="1">
      <alignment horizontal="center" vertical="center"/>
    </xf>
    <xf numFmtId="0" fontId="41" fillId="21" borderId="27" xfId="0" applyFont="1" applyFill="1" applyBorder="1" applyAlignment="1">
      <alignment horizontal="center" vertical="center"/>
    </xf>
    <xf numFmtId="3" fontId="41" fillId="21" borderId="27" xfId="0" applyNumberFormat="1" applyFont="1" applyFill="1" applyBorder="1" applyAlignment="1">
      <alignment horizontal="right" vertical="center"/>
    </xf>
    <xf numFmtId="0" fontId="41" fillId="21" borderId="27" xfId="0" applyFont="1" applyFill="1" applyBorder="1" applyAlignment="1">
      <alignment horizontal="right" vertical="center"/>
    </xf>
    <xf numFmtId="164" fontId="41" fillId="21" borderId="27" xfId="0" applyNumberFormat="1" applyFont="1" applyFill="1" applyBorder="1" applyAlignment="1">
      <alignment horizontal="right" vertical="center"/>
    </xf>
    <xf numFmtId="4" fontId="47" fillId="21" borderId="27" xfId="0" applyNumberFormat="1" applyFont="1" applyFill="1" applyBorder="1" applyAlignment="1">
      <alignment horizontal="right" vertical="center"/>
    </xf>
    <xf numFmtId="3" fontId="48" fillId="21" borderId="27" xfId="0" applyNumberFormat="1" applyFont="1" applyFill="1" applyBorder="1" applyAlignment="1">
      <alignment horizontal="right" vertical="center"/>
    </xf>
    <xf numFmtId="164" fontId="48" fillId="21" borderId="27" xfId="0" applyNumberFormat="1" applyFont="1" applyFill="1" applyBorder="1" applyAlignment="1">
      <alignment horizontal="right" vertical="center"/>
    </xf>
    <xf numFmtId="164" fontId="48" fillId="21" borderId="27" xfId="0" applyNumberFormat="1" applyFont="1" applyFill="1" applyBorder="1" applyAlignment="1">
      <alignment horizontal="center" vertical="center"/>
    </xf>
    <xf numFmtId="0" fontId="48" fillId="21" borderId="27" xfId="0" applyFont="1" applyFill="1" applyBorder="1" applyAlignment="1">
      <alignment horizontal="right" vertical="center"/>
    </xf>
    <xf numFmtId="0" fontId="41" fillId="21" borderId="27" xfId="0" applyFont="1" applyFill="1" applyBorder="1"/>
    <xf numFmtId="3" fontId="45" fillId="21" borderId="27" xfId="0" applyNumberFormat="1" applyFont="1" applyFill="1" applyBorder="1"/>
    <xf numFmtId="3" fontId="8" fillId="21" borderId="27" xfId="0" applyNumberFormat="1" applyFont="1" applyFill="1" applyBorder="1" applyAlignment="1">
      <alignment horizontal="center" vertical="center"/>
    </xf>
    <xf numFmtId="3" fontId="41" fillId="21" borderId="1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85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0" fillId="0" borderId="2" xfId="0" applyBorder="1"/>
    <xf numFmtId="0" fontId="13" fillId="0" borderId="7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3" borderId="56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3" borderId="56" xfId="0" applyFont="1" applyFill="1" applyBorder="1" applyAlignment="1">
      <alignment horizontal="left" vertical="center" wrapText="1"/>
    </xf>
    <xf numFmtId="0" fontId="38" fillId="3" borderId="5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left" vertical="center" wrapText="1"/>
    </xf>
    <xf numFmtId="0" fontId="27" fillId="6" borderId="68" xfId="0" applyFont="1" applyFill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3" fontId="27" fillId="20" borderId="1" xfId="0" applyNumberFormat="1" applyFont="1" applyFill="1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06" xfId="0" applyFont="1" applyFill="1" applyBorder="1" applyAlignment="1">
      <alignment horizontal="center" vertical="center" wrapText="1"/>
    </xf>
    <xf numFmtId="0" fontId="13" fillId="27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4" fillId="0" borderId="26" xfId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51" fillId="8" borderId="63" xfId="0" applyFont="1" applyFill="1" applyBorder="1" applyAlignment="1">
      <alignment horizontal="left" vertical="center"/>
    </xf>
    <xf numFmtId="0" fontId="51" fillId="8" borderId="64" xfId="0" applyFont="1" applyFill="1" applyBorder="1" applyAlignment="1">
      <alignment horizontal="left" vertical="center"/>
    </xf>
    <xf numFmtId="0" fontId="51" fillId="8" borderId="65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wrapText="1"/>
    </xf>
    <xf numFmtId="0" fontId="8" fillId="16" borderId="97" xfId="0" applyFont="1" applyFill="1" applyBorder="1" applyAlignment="1">
      <alignment horizontal="center" vertical="center" wrapText="1"/>
    </xf>
    <xf numFmtId="0" fontId="8" fillId="16" borderId="9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center" vertical="center" textRotation="90" wrapText="1"/>
    </xf>
    <xf numFmtId="0" fontId="8" fillId="6" borderId="21" xfId="0" applyFont="1" applyFill="1" applyBorder="1" applyAlignment="1">
      <alignment horizontal="center" vertical="center" textRotation="90" wrapText="1"/>
    </xf>
    <xf numFmtId="0" fontId="8" fillId="23" borderId="97" xfId="0" applyFont="1" applyFill="1" applyBorder="1" applyAlignment="1">
      <alignment horizontal="center" vertical="center" textRotation="90" wrapText="1"/>
    </xf>
    <xf numFmtId="0" fontId="8" fillId="23" borderId="6" xfId="0" applyFont="1" applyFill="1" applyBorder="1" applyAlignment="1">
      <alignment horizontal="center" vertical="center" textRotation="90" wrapText="1"/>
    </xf>
    <xf numFmtId="0" fontId="8" fillId="23" borderId="21" xfId="0" applyFont="1" applyFill="1" applyBorder="1" applyAlignment="1">
      <alignment horizontal="center" vertical="center" textRotation="90" wrapText="1"/>
    </xf>
    <xf numFmtId="0" fontId="8" fillId="6" borderId="30" xfId="0" applyFont="1" applyFill="1" applyBorder="1" applyAlignment="1">
      <alignment horizontal="center" vertical="center" textRotation="90" wrapText="1"/>
    </xf>
    <xf numFmtId="0" fontId="8" fillId="22" borderId="62" xfId="0" applyFont="1" applyFill="1" applyBorder="1" applyAlignment="1">
      <alignment horizontal="center" vertical="center" textRotation="90" wrapText="1"/>
    </xf>
    <xf numFmtId="0" fontId="8" fillId="22" borderId="30" xfId="0" applyFont="1" applyFill="1" applyBorder="1" applyAlignment="1">
      <alignment horizontal="center" vertical="center" textRotation="90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51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8" fillId="13" borderId="104" xfId="0" applyFont="1" applyFill="1" applyBorder="1" applyAlignment="1">
      <alignment horizontal="center" vertical="center" wrapText="1"/>
    </xf>
    <xf numFmtId="0" fontId="8" fillId="13" borderId="0" xfId="0" applyFont="1" applyFill="1" applyBorder="1" applyAlignment="1">
      <alignment horizontal="center" vertical="center" wrapText="1"/>
    </xf>
    <xf numFmtId="0" fontId="8" fillId="13" borderId="30" xfId="0" applyFont="1" applyFill="1" applyBorder="1" applyAlignment="1">
      <alignment horizontal="center" vertical="center" wrapText="1"/>
    </xf>
    <xf numFmtId="0" fontId="8" fillId="13" borderId="63" xfId="0" applyFont="1" applyFill="1" applyBorder="1" applyAlignment="1">
      <alignment horizontal="center" vertical="center" wrapText="1"/>
    </xf>
    <xf numFmtId="0" fontId="8" fillId="13" borderId="64" xfId="0" applyFont="1" applyFill="1" applyBorder="1" applyAlignment="1">
      <alignment horizontal="center" vertical="center" wrapText="1"/>
    </xf>
    <xf numFmtId="0" fontId="8" fillId="13" borderId="65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99" xfId="0" quotePrefix="1" applyFont="1" applyFill="1" applyBorder="1" applyAlignment="1">
      <alignment horizontal="center" vertical="center" wrapText="1"/>
    </xf>
    <xf numFmtId="0" fontId="8" fillId="0" borderId="14" xfId="0" quotePrefix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51" xfId="0" applyNumberFormat="1" applyFont="1" applyBorder="1" applyAlignment="1">
      <alignment horizontal="center" vertical="center" wrapText="1"/>
    </xf>
    <xf numFmtId="3" fontId="8" fillId="12" borderId="19" xfId="0" applyNumberFormat="1" applyFont="1" applyFill="1" applyBorder="1" applyAlignment="1">
      <alignment horizontal="center" vertical="center" wrapText="1"/>
    </xf>
    <xf numFmtId="3" fontId="8" fillId="12" borderId="2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3" fontId="8" fillId="11" borderId="104" xfId="0" applyNumberFormat="1" applyFont="1" applyFill="1" applyBorder="1" applyAlignment="1">
      <alignment horizontal="center" vertical="center" wrapText="1"/>
    </xf>
    <xf numFmtId="3" fontId="8" fillId="11" borderId="30" xfId="0" applyNumberFormat="1" applyFont="1" applyFill="1" applyBorder="1" applyAlignment="1">
      <alignment horizontal="center" vertical="center" wrapText="1"/>
    </xf>
    <xf numFmtId="3" fontId="8" fillId="11" borderId="63" xfId="0" applyNumberFormat="1" applyFont="1" applyFill="1" applyBorder="1" applyAlignment="1">
      <alignment horizontal="center" vertical="center" wrapText="1"/>
    </xf>
    <xf numFmtId="3" fontId="8" fillId="11" borderId="65" xfId="0" applyNumberFormat="1" applyFont="1" applyFill="1" applyBorder="1" applyAlignment="1">
      <alignment horizontal="center" vertical="center" wrapText="1"/>
    </xf>
    <xf numFmtId="3" fontId="8" fillId="0" borderId="51" xfId="0" quotePrefix="1" applyNumberFormat="1" applyFont="1" applyBorder="1" applyAlignment="1">
      <alignment horizontal="center" vertical="center" wrapText="1"/>
    </xf>
    <xf numFmtId="0" fontId="28" fillId="0" borderId="106" xfId="0" quotePrefix="1" applyFont="1" applyBorder="1" applyAlignment="1">
      <alignment horizontal="center" vertical="center" wrapText="1"/>
    </xf>
    <xf numFmtId="0" fontId="28" fillId="0" borderId="0" xfId="0" quotePrefix="1" applyFont="1" applyBorder="1" applyAlignment="1">
      <alignment horizontal="center" vertical="center" wrapText="1"/>
    </xf>
    <xf numFmtId="0" fontId="28" fillId="0" borderId="47" xfId="0" quotePrefix="1" applyFont="1" applyBorder="1" applyAlignment="1">
      <alignment horizontal="center" vertical="center" wrapText="1"/>
    </xf>
    <xf numFmtId="0" fontId="28" fillId="0" borderId="26" xfId="0" quotePrefix="1" applyFont="1" applyBorder="1" applyAlignment="1">
      <alignment horizontal="center" vertical="center" wrapText="1"/>
    </xf>
    <xf numFmtId="0" fontId="28" fillId="0" borderId="23" xfId="0" quotePrefix="1" applyFont="1" applyBorder="1" applyAlignment="1">
      <alignment horizontal="center" vertical="center" wrapText="1"/>
    </xf>
    <xf numFmtId="0" fontId="28" fillId="0" borderId="8" xfId="0" quotePrefix="1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3" fontId="8" fillId="0" borderId="48" xfId="0" applyNumberFormat="1" applyFont="1" applyBorder="1" applyAlignment="1">
      <alignment horizontal="center" vertical="center" wrapText="1"/>
    </xf>
    <xf numFmtId="3" fontId="8" fillId="0" borderId="50" xfId="0" quotePrefix="1" applyNumberFormat="1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10" borderId="19" xfId="0" quotePrefix="1" applyFont="1" applyFill="1" applyBorder="1" applyAlignment="1">
      <alignment horizontal="center" vertical="center" wrapText="1"/>
    </xf>
    <xf numFmtId="0" fontId="29" fillId="10" borderId="20" xfId="0" quotePrefix="1" applyFont="1" applyFill="1" applyBorder="1" applyAlignment="1">
      <alignment horizontal="center" vertical="center" wrapText="1"/>
    </xf>
    <xf numFmtId="0" fontId="56" fillId="13" borderId="2" xfId="0" applyFont="1" applyFill="1" applyBorder="1" applyAlignment="1">
      <alignment horizontal="center" vertical="center" textRotation="90"/>
    </xf>
    <xf numFmtId="0" fontId="56" fillId="13" borderId="4" xfId="0" applyFont="1" applyFill="1" applyBorder="1" applyAlignment="1">
      <alignment horizontal="center" vertical="center" textRotation="90"/>
    </xf>
    <xf numFmtId="0" fontId="56" fillId="13" borderId="1" xfId="0" applyFont="1" applyFill="1" applyBorder="1" applyAlignment="1">
      <alignment horizontal="center" vertical="center" textRotation="90"/>
    </xf>
    <xf numFmtId="0" fontId="57" fillId="3" borderId="106" xfId="0" applyFont="1" applyFill="1" applyBorder="1" applyAlignment="1">
      <alignment horizontal="center" vertical="center" textRotation="90" wrapText="1"/>
    </xf>
    <xf numFmtId="0" fontId="57" fillId="3" borderId="47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3" fillId="0" borderId="104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30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6" fillId="19" borderId="12" xfId="0" applyFont="1" applyFill="1" applyBorder="1" applyAlignment="1">
      <alignment horizontal="center" vertical="center" wrapText="1"/>
    </xf>
    <xf numFmtId="0" fontId="26" fillId="19" borderId="3" xfId="0" applyFont="1" applyFill="1" applyBorder="1" applyAlignment="1">
      <alignment horizontal="center" vertical="center" wrapText="1"/>
    </xf>
    <xf numFmtId="0" fontId="26" fillId="19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26" fillId="19" borderId="111" xfId="0" applyFont="1" applyFill="1" applyBorder="1" applyAlignment="1">
      <alignment horizontal="center" vertical="center" wrapText="1"/>
    </xf>
    <xf numFmtId="0" fontId="26" fillId="19" borderId="48" xfId="0" applyFont="1" applyFill="1" applyBorder="1" applyAlignment="1">
      <alignment horizontal="center" vertical="center" wrapText="1"/>
    </xf>
    <xf numFmtId="0" fontId="26" fillId="19" borderId="50" xfId="0" applyFont="1" applyFill="1" applyBorder="1" applyAlignment="1">
      <alignment horizontal="center" vertical="center" wrapText="1"/>
    </xf>
    <xf numFmtId="0" fontId="26" fillId="19" borderId="27" xfId="0" applyFont="1" applyFill="1" applyBorder="1" applyAlignment="1">
      <alignment horizontal="center" vertical="center" wrapText="1"/>
    </xf>
    <xf numFmtId="0" fontId="26" fillId="19" borderId="4" xfId="0" applyFont="1" applyFill="1" applyBorder="1" applyAlignment="1">
      <alignment horizontal="center" vertical="center" wrapText="1"/>
    </xf>
    <xf numFmtId="0" fontId="26" fillId="19" borderId="51" xfId="0" applyFont="1" applyFill="1" applyBorder="1" applyAlignment="1">
      <alignment horizontal="center" vertical="center" wrapText="1"/>
    </xf>
    <xf numFmtId="0" fontId="55" fillId="13" borderId="2" xfId="0" applyFont="1" applyFill="1" applyBorder="1" applyAlignment="1">
      <alignment horizontal="center" vertical="center" textRotation="90" wrapText="1"/>
    </xf>
    <xf numFmtId="0" fontId="55" fillId="13" borderId="4" xfId="0" applyFont="1" applyFill="1" applyBorder="1" applyAlignment="1">
      <alignment horizontal="center" vertical="center" textRotation="90" wrapText="1"/>
    </xf>
    <xf numFmtId="0" fontId="55" fillId="1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3" fontId="16" fillId="15" borderId="53" xfId="0" applyNumberFormat="1" applyFont="1" applyFill="1" applyBorder="1" applyAlignment="1">
      <alignment horizontal="center" vertical="center" wrapText="1"/>
    </xf>
    <xf numFmtId="3" fontId="16" fillId="15" borderId="56" xfId="0" applyNumberFormat="1" applyFont="1" applyFill="1" applyBorder="1" applyAlignment="1">
      <alignment horizontal="center" vertical="center" wrapText="1"/>
    </xf>
    <xf numFmtId="3" fontId="16" fillId="15" borderId="57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" fontId="14" fillId="18" borderId="68" xfId="0" applyNumberFormat="1" applyFont="1" applyFill="1" applyBorder="1" applyAlignment="1">
      <alignment horizontal="center" vertical="center" wrapText="1"/>
    </xf>
    <xf numFmtId="3" fontId="14" fillId="18" borderId="56" xfId="0" applyNumberFormat="1" applyFont="1" applyFill="1" applyBorder="1" applyAlignment="1">
      <alignment horizontal="center" vertical="center" wrapText="1"/>
    </xf>
    <xf numFmtId="3" fontId="14" fillId="18" borderId="57" xfId="0" applyNumberFormat="1" applyFont="1" applyFill="1" applyBorder="1" applyAlignment="1">
      <alignment horizontal="center" vertical="center" wrapText="1"/>
    </xf>
    <xf numFmtId="0" fontId="13" fillId="10" borderId="30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83" xfId="0" applyFont="1" applyFill="1" applyBorder="1" applyAlignment="1">
      <alignment horizontal="center" vertical="center" wrapText="1"/>
    </xf>
    <xf numFmtId="0" fontId="14" fillId="0" borderId="8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vertical="center"/>
    </xf>
    <xf numFmtId="0" fontId="14" fillId="6" borderId="16" xfId="0" applyFont="1" applyFill="1" applyBorder="1" applyAlignment="1">
      <alignment vertical="center"/>
    </xf>
    <xf numFmtId="0" fontId="14" fillId="6" borderId="17" xfId="0" applyFont="1" applyFill="1" applyBorder="1" applyAlignment="1">
      <alignment vertical="center"/>
    </xf>
    <xf numFmtId="3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3" fontId="20" fillId="0" borderId="69" xfId="0" applyNumberFormat="1" applyFont="1" applyFill="1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14" fillId="6" borderId="14" xfId="0" applyFont="1" applyFill="1" applyBorder="1" applyAlignment="1">
      <alignment vertical="center"/>
    </xf>
    <xf numFmtId="3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3" fontId="20" fillId="0" borderId="59" xfId="0" applyNumberFormat="1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3" fontId="20" fillId="0" borderId="90" xfId="0" applyNumberFormat="1" applyFont="1" applyFill="1" applyBorder="1" applyAlignment="1">
      <alignment horizontal="center" vertical="center"/>
    </xf>
    <xf numFmtId="3" fontId="17" fillId="18" borderId="73" xfId="0" applyNumberFormat="1" applyFont="1" applyFill="1" applyBorder="1" applyAlignment="1">
      <alignment horizontal="center" vertical="center"/>
    </xf>
    <xf numFmtId="3" fontId="17" fillId="18" borderId="45" xfId="0" applyNumberFormat="1" applyFont="1" applyFill="1" applyBorder="1" applyAlignment="1">
      <alignment horizontal="center" vertical="center"/>
    </xf>
    <xf numFmtId="9" fontId="17" fillId="10" borderId="48" xfId="0" applyNumberFormat="1" applyFont="1" applyFill="1" applyBorder="1" applyAlignment="1">
      <alignment horizontal="center" vertical="center" wrapText="1"/>
    </xf>
    <xf numFmtId="0" fontId="17" fillId="10" borderId="82" xfId="0" applyFont="1" applyFill="1" applyBorder="1" applyAlignment="1">
      <alignment horizontal="center" vertical="center" wrapText="1"/>
    </xf>
    <xf numFmtId="9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vertical="center"/>
    </xf>
    <xf numFmtId="0" fontId="14" fillId="6" borderId="12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3" fontId="19" fillId="0" borderId="2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3" fontId="20" fillId="0" borderId="94" xfId="0" applyNumberFormat="1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18" fillId="0" borderId="107" xfId="0" applyFont="1" applyFill="1" applyBorder="1" applyAlignment="1">
      <alignment horizontal="center" vertical="center" wrapText="1"/>
    </xf>
    <xf numFmtId="0" fontId="18" fillId="0" borderId="87" xfId="0" applyFont="1" applyFill="1" applyBorder="1" applyAlignment="1">
      <alignment horizontal="center" vertical="center" wrapText="1"/>
    </xf>
    <xf numFmtId="0" fontId="17" fillId="17" borderId="35" xfId="0" applyFont="1" applyFill="1" applyBorder="1" applyAlignment="1">
      <alignment horizontal="center" vertical="center" wrapText="1"/>
    </xf>
    <xf numFmtId="0" fontId="17" fillId="17" borderId="75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3" fontId="17" fillId="10" borderId="86" xfId="0" applyNumberFormat="1" applyFont="1" applyFill="1" applyBorder="1" applyAlignment="1">
      <alignment horizontal="center" vertical="center"/>
    </xf>
    <xf numFmtId="3" fontId="17" fillId="10" borderId="90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distributed"/>
    </xf>
    <xf numFmtId="0" fontId="20" fillId="0" borderId="2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3" fontId="14" fillId="0" borderId="43" xfId="0" applyNumberFormat="1" applyFont="1" applyBorder="1" applyAlignment="1">
      <alignment horizontal="center" vertical="center"/>
    </xf>
    <xf numFmtId="0" fontId="14" fillId="17" borderId="50" xfId="0" applyFont="1" applyFill="1" applyBorder="1" applyAlignment="1">
      <alignment horizontal="center"/>
    </xf>
    <xf numFmtId="0" fontId="14" fillId="17" borderId="84" xfId="0" applyFont="1" applyFill="1" applyBorder="1" applyAlignment="1">
      <alignment horizontal="center"/>
    </xf>
    <xf numFmtId="0" fontId="14" fillId="18" borderId="50" xfId="0" applyFont="1" applyFill="1" applyBorder="1" applyAlignment="1">
      <alignment horizontal="center"/>
    </xf>
    <xf numFmtId="0" fontId="14" fillId="18" borderId="84" xfId="0" applyFont="1" applyFill="1" applyBorder="1" applyAlignment="1">
      <alignment horizontal="center"/>
    </xf>
    <xf numFmtId="0" fontId="14" fillId="10" borderId="50" xfId="0" applyFont="1" applyFill="1" applyBorder="1" applyAlignment="1">
      <alignment horizontal="center"/>
    </xf>
    <xf numFmtId="0" fontId="14" fillId="10" borderId="84" xfId="0" applyFont="1" applyFill="1" applyBorder="1" applyAlignment="1">
      <alignment horizontal="center"/>
    </xf>
    <xf numFmtId="0" fontId="17" fillId="18" borderId="92" xfId="0" applyFont="1" applyFill="1" applyBorder="1" applyAlignment="1">
      <alignment horizontal="center" vertical="center" wrapText="1"/>
    </xf>
    <xf numFmtId="0" fontId="17" fillId="18" borderId="93" xfId="0" applyFont="1" applyFill="1" applyBorder="1" applyAlignment="1">
      <alignment horizontal="center" vertical="center" wrapText="1"/>
    </xf>
    <xf numFmtId="0" fontId="18" fillId="0" borderId="78" xfId="0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horizontal="center" vertical="center" wrapText="1"/>
    </xf>
    <xf numFmtId="0" fontId="17" fillId="10" borderId="102" xfId="0" applyFont="1" applyFill="1" applyBorder="1" applyAlignment="1">
      <alignment horizontal="center" vertical="center" wrapText="1"/>
    </xf>
    <xf numFmtId="0" fontId="17" fillId="10" borderId="79" xfId="0" applyFont="1" applyFill="1" applyBorder="1" applyAlignment="1">
      <alignment horizontal="center" vertical="center" wrapText="1"/>
    </xf>
    <xf numFmtId="9" fontId="17" fillId="17" borderId="74" xfId="0" applyNumberFormat="1" applyFont="1" applyFill="1" applyBorder="1" applyAlignment="1">
      <alignment horizontal="center" vertical="center" wrapText="1"/>
    </xf>
    <xf numFmtId="0" fontId="17" fillId="17" borderId="46" xfId="0" applyFont="1" applyFill="1" applyBorder="1" applyAlignment="1">
      <alignment horizontal="center" vertical="center" wrapText="1"/>
    </xf>
    <xf numFmtId="3" fontId="17" fillId="17" borderId="38" xfId="0" applyNumberFormat="1" applyFont="1" applyFill="1" applyBorder="1" applyAlignment="1">
      <alignment horizontal="center" vertical="center"/>
    </xf>
    <xf numFmtId="3" fontId="17" fillId="17" borderId="31" xfId="0" applyNumberFormat="1" applyFont="1" applyFill="1" applyBorder="1" applyAlignment="1">
      <alignment horizontal="center" vertical="center"/>
    </xf>
    <xf numFmtId="9" fontId="17" fillId="18" borderId="74" xfId="0" applyNumberFormat="1" applyFont="1" applyFill="1" applyBorder="1" applyAlignment="1">
      <alignment horizontal="center" vertical="center" wrapText="1"/>
    </xf>
    <xf numFmtId="0" fontId="17" fillId="18" borderId="46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3" fontId="14" fillId="10" borderId="3" xfId="0" applyNumberFormat="1" applyFont="1" applyFill="1" applyBorder="1" applyAlignment="1">
      <alignment horizontal="center" vertical="center"/>
    </xf>
    <xf numFmtId="0" fontId="14" fillId="13" borderId="50" xfId="0" applyFont="1" applyFill="1" applyBorder="1" applyAlignment="1">
      <alignment horizontal="center"/>
    </xf>
    <xf numFmtId="0" fontId="14" fillId="13" borderId="84" xfId="0" applyFont="1" applyFill="1" applyBorder="1" applyAlignment="1">
      <alignment horizontal="center"/>
    </xf>
    <xf numFmtId="0" fontId="15" fillId="0" borderId="82" xfId="0" applyFont="1" applyFill="1" applyBorder="1" applyAlignment="1">
      <alignment horizontal="center"/>
    </xf>
    <xf numFmtId="0" fontId="15" fillId="0" borderId="108" xfId="0" applyFont="1" applyFill="1" applyBorder="1" applyAlignment="1">
      <alignment horizontal="center"/>
    </xf>
    <xf numFmtId="0" fontId="16" fillId="0" borderId="109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7" fillId="13" borderId="102" xfId="0" applyFont="1" applyFill="1" applyBorder="1" applyAlignment="1">
      <alignment horizontal="center" vertical="center" wrapText="1"/>
    </xf>
    <xf numFmtId="0" fontId="17" fillId="13" borderId="79" xfId="0" applyFont="1" applyFill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9" fontId="13" fillId="0" borderId="9" xfId="0" applyNumberFormat="1" applyFont="1" applyBorder="1" applyAlignment="1">
      <alignment horizontal="center" vertical="center"/>
    </xf>
    <xf numFmtId="3" fontId="13" fillId="0" borderId="33" xfId="0" applyNumberFormat="1" applyFont="1" applyBorder="1" applyAlignment="1">
      <alignment horizontal="center" vertical="center"/>
    </xf>
    <xf numFmtId="9" fontId="17" fillId="13" borderId="103" xfId="0" applyNumberFormat="1" applyFont="1" applyFill="1" applyBorder="1" applyAlignment="1">
      <alignment horizontal="center" vertical="center" wrapText="1"/>
    </xf>
    <xf numFmtId="0" fontId="17" fillId="13" borderId="101" xfId="0" applyFont="1" applyFill="1" applyBorder="1" applyAlignment="1">
      <alignment horizontal="center" vertical="center" wrapText="1"/>
    </xf>
    <xf numFmtId="3" fontId="17" fillId="13" borderId="77" xfId="0" applyNumberFormat="1" applyFont="1" applyFill="1" applyBorder="1" applyAlignment="1">
      <alignment horizontal="center" vertical="center"/>
    </xf>
    <xf numFmtId="3" fontId="17" fillId="13" borderId="80" xfId="0" applyNumberFormat="1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1"/>
  <sheetViews>
    <sheetView tabSelected="1" topLeftCell="F34" zoomScale="98" zoomScaleNormal="98" zoomScaleSheetLayoutView="70" workbookViewId="0">
      <selection activeCell="P113" sqref="P113"/>
    </sheetView>
  </sheetViews>
  <sheetFormatPr defaultRowHeight="15" x14ac:dyDescent="0.25"/>
  <cols>
    <col min="2" max="2" width="5.42578125" style="8" customWidth="1"/>
    <col min="3" max="3" width="15.7109375" style="382" customWidth="1"/>
    <col min="4" max="4" width="13.28515625" style="8" customWidth="1"/>
    <col min="5" max="5" width="47" style="427" customWidth="1"/>
    <col min="6" max="6" width="25.28515625" style="384" customWidth="1"/>
    <col min="7" max="7" width="16.140625" style="384" customWidth="1"/>
    <col min="8" max="8" width="15.7109375" style="384" customWidth="1"/>
    <col min="9" max="9" width="27.28515625" style="384" customWidth="1"/>
    <col min="10" max="10" width="19.85546875" style="384" customWidth="1"/>
    <col min="11" max="11" width="21.140625" style="384" customWidth="1"/>
    <col min="12" max="12" width="13.42578125" style="385" customWidth="1"/>
    <col min="13" max="13" width="14.85546875" style="386" customWidth="1"/>
    <col min="14" max="14" width="24.140625" style="8" customWidth="1"/>
    <col min="15" max="15" width="11.28515625" style="8" customWidth="1"/>
    <col min="16" max="16" width="10.85546875" style="8" customWidth="1"/>
    <col min="17" max="17" width="11.7109375" style="386" customWidth="1"/>
    <col min="18" max="19" width="9.42578125" style="386" customWidth="1"/>
    <col min="20" max="23" width="9.7109375" style="386" customWidth="1"/>
    <col min="24" max="26" width="7.5703125" style="8" customWidth="1"/>
    <col min="27" max="27" width="13.140625" style="9" customWidth="1"/>
    <col min="28" max="28" width="15.28515625" style="419" customWidth="1"/>
    <col min="29" max="29" width="14.7109375" style="419" customWidth="1"/>
    <col min="30" max="30" width="14.5703125" style="10" customWidth="1"/>
    <col min="31" max="31" width="19.42578125" style="387" customWidth="1"/>
    <col min="32" max="32" width="16.28515625" style="388" customWidth="1"/>
    <col min="33" max="33" width="12" style="389" customWidth="1"/>
    <col min="34" max="34" width="13.140625" style="389" customWidth="1"/>
    <col min="35" max="35" width="12" style="388" customWidth="1"/>
    <col min="36" max="36" width="10.85546875" style="390" customWidth="1"/>
    <col min="37" max="37" width="18.7109375" style="391" customWidth="1"/>
    <col min="38" max="38" width="17.140625" style="392" customWidth="1"/>
    <col min="39" max="39" width="13" style="128" customWidth="1"/>
    <col min="40" max="40" width="12.7109375" style="128" customWidth="1"/>
    <col min="41" max="41" width="18.28515625" style="393" customWidth="1"/>
    <col min="42" max="42" width="21.140625" style="393" customWidth="1"/>
    <col min="43" max="43" width="19.7109375" style="394" customWidth="1"/>
    <col min="44" max="44" width="16.7109375" style="393" customWidth="1"/>
    <col min="45" max="45" width="23.42578125" style="393" customWidth="1"/>
    <col min="46" max="46" width="23.85546875" style="8" customWidth="1"/>
    <col min="47" max="47" width="49.140625" style="448" customWidth="1"/>
    <col min="48" max="48" width="8.7109375" style="3" customWidth="1"/>
  </cols>
  <sheetData>
    <row r="1" spans="1:48" ht="15.75" thickBot="1" x14ac:dyDescent="0.3">
      <c r="C1" s="478"/>
      <c r="D1" s="479"/>
      <c r="E1" s="480"/>
      <c r="F1" s="481"/>
      <c r="G1" s="481"/>
      <c r="H1" s="481"/>
      <c r="I1" s="481"/>
      <c r="J1" s="481"/>
      <c r="K1" s="481"/>
      <c r="L1" s="482"/>
      <c r="M1" s="483"/>
      <c r="N1" s="479"/>
      <c r="O1" s="479"/>
      <c r="P1" s="479"/>
      <c r="Q1" s="483"/>
      <c r="R1" s="483"/>
      <c r="S1" s="483"/>
      <c r="T1" s="483"/>
      <c r="U1" s="483"/>
      <c r="V1" s="483"/>
      <c r="W1" s="483"/>
      <c r="X1" s="479"/>
      <c r="Y1" s="479"/>
      <c r="Z1" s="479"/>
      <c r="AA1" s="484"/>
      <c r="AB1" s="485"/>
      <c r="AC1" s="485"/>
      <c r="AD1" s="486"/>
      <c r="AE1" s="487"/>
      <c r="AF1" s="488"/>
      <c r="AG1" s="489"/>
      <c r="AH1" s="489"/>
      <c r="AI1" s="488"/>
      <c r="AJ1" s="490"/>
      <c r="AK1" s="491"/>
      <c r="AL1" s="492"/>
      <c r="AM1" s="493"/>
      <c r="AN1" s="493"/>
      <c r="AO1" s="494"/>
      <c r="AP1" s="494"/>
      <c r="AQ1" s="495"/>
      <c r="AR1" s="494"/>
      <c r="AS1" s="494"/>
      <c r="AT1" s="479"/>
      <c r="AU1" s="496"/>
    </row>
    <row r="2" spans="1:48" ht="24" customHeight="1" thickBot="1" x14ac:dyDescent="0.25">
      <c r="C2" s="586" t="s">
        <v>694</v>
      </c>
      <c r="D2" s="587"/>
      <c r="E2" s="587"/>
      <c r="F2" s="587"/>
      <c r="G2" s="587"/>
      <c r="H2" s="587"/>
      <c r="I2" s="587"/>
      <c r="J2" s="587"/>
      <c r="K2" s="587"/>
      <c r="L2" s="587"/>
      <c r="M2" s="588"/>
      <c r="N2" s="466"/>
      <c r="O2" s="626" t="s">
        <v>8</v>
      </c>
      <c r="P2" s="627"/>
      <c r="Q2" s="627"/>
      <c r="R2" s="627"/>
      <c r="S2" s="627"/>
      <c r="T2" s="627"/>
      <c r="U2" s="627"/>
      <c r="V2" s="627"/>
      <c r="W2" s="627"/>
      <c r="X2" s="604" t="s">
        <v>9</v>
      </c>
      <c r="Y2" s="605"/>
      <c r="Z2" s="606"/>
      <c r="AA2" s="629" t="s">
        <v>2</v>
      </c>
      <c r="AB2" s="630"/>
      <c r="AC2" s="622" t="s">
        <v>10</v>
      </c>
      <c r="AD2" s="612" t="s">
        <v>18</v>
      </c>
      <c r="AE2" s="613"/>
      <c r="AF2" s="613"/>
      <c r="AG2" s="644" t="s">
        <v>96</v>
      </c>
      <c r="AH2" s="613"/>
      <c r="AI2" s="645"/>
      <c r="AJ2" s="634" t="s">
        <v>19</v>
      </c>
      <c r="AK2" s="635"/>
      <c r="AL2" s="636"/>
      <c r="AM2" s="624" t="s">
        <v>23</v>
      </c>
      <c r="AN2" s="640" t="s">
        <v>24</v>
      </c>
      <c r="AO2" s="642" t="s">
        <v>144</v>
      </c>
      <c r="AP2" s="619" t="s">
        <v>681</v>
      </c>
      <c r="AQ2" s="620" t="s">
        <v>139</v>
      </c>
      <c r="AR2" s="619" t="s">
        <v>138</v>
      </c>
      <c r="AS2" s="616" t="s">
        <v>680</v>
      </c>
      <c r="AT2" s="648" t="s">
        <v>649</v>
      </c>
      <c r="AU2" s="439"/>
      <c r="AV2" s="628" t="s">
        <v>13</v>
      </c>
    </row>
    <row r="3" spans="1:48" ht="87" customHeight="1" thickBot="1" x14ac:dyDescent="0.3">
      <c r="C3" s="580" t="s">
        <v>0</v>
      </c>
      <c r="D3" s="585" t="s">
        <v>177</v>
      </c>
      <c r="E3" s="585" t="s">
        <v>647</v>
      </c>
      <c r="F3" s="95" t="s">
        <v>179</v>
      </c>
      <c r="G3" s="86" t="s">
        <v>180</v>
      </c>
      <c r="H3" s="467" t="s">
        <v>181</v>
      </c>
      <c r="I3" s="86" t="s">
        <v>182</v>
      </c>
      <c r="J3" s="86" t="s">
        <v>183</v>
      </c>
      <c r="K3" s="86" t="s">
        <v>184</v>
      </c>
      <c r="L3" s="465" t="s">
        <v>185</v>
      </c>
      <c r="M3" s="465" t="s">
        <v>186</v>
      </c>
      <c r="N3" s="601" t="s">
        <v>626</v>
      </c>
      <c r="O3" s="129" t="s">
        <v>15</v>
      </c>
      <c r="P3" s="582" t="s">
        <v>16</v>
      </c>
      <c r="Q3" s="583"/>
      <c r="R3" s="583"/>
      <c r="S3" s="584"/>
      <c r="T3" s="610" t="s">
        <v>17</v>
      </c>
      <c r="U3" s="611"/>
      <c r="V3" s="611"/>
      <c r="W3" s="611"/>
      <c r="X3" s="607"/>
      <c r="Y3" s="608"/>
      <c r="Z3" s="609"/>
      <c r="AA3" s="631"/>
      <c r="AB3" s="632"/>
      <c r="AC3" s="623"/>
      <c r="AD3" s="614"/>
      <c r="AE3" s="615"/>
      <c r="AF3" s="615"/>
      <c r="AG3" s="646"/>
      <c r="AH3" s="615"/>
      <c r="AI3" s="647"/>
      <c r="AJ3" s="637"/>
      <c r="AK3" s="638"/>
      <c r="AL3" s="639"/>
      <c r="AM3" s="625"/>
      <c r="AN3" s="641"/>
      <c r="AO3" s="642"/>
      <c r="AP3" s="619"/>
      <c r="AQ3" s="620"/>
      <c r="AR3" s="619"/>
      <c r="AS3" s="617"/>
      <c r="AT3" s="648"/>
      <c r="AU3" s="439"/>
      <c r="AV3" s="628"/>
    </row>
    <row r="4" spans="1:48" ht="97.9" customHeight="1" thickBot="1" x14ac:dyDescent="0.3">
      <c r="B4" s="8" t="s">
        <v>695</v>
      </c>
      <c r="C4" s="581"/>
      <c r="D4" s="585"/>
      <c r="E4" s="585"/>
      <c r="F4" s="87"/>
      <c r="G4" s="87"/>
      <c r="H4" s="87"/>
      <c r="I4" s="88"/>
      <c r="J4" s="88"/>
      <c r="K4" s="88"/>
      <c r="L4" s="89"/>
      <c r="M4" s="89"/>
      <c r="N4" s="602"/>
      <c r="O4" s="130" t="s">
        <v>26</v>
      </c>
      <c r="P4" s="131" t="s">
        <v>20</v>
      </c>
      <c r="Q4" s="132" t="s">
        <v>91</v>
      </c>
      <c r="R4" s="132" t="s">
        <v>93</v>
      </c>
      <c r="S4" s="133" t="s">
        <v>92</v>
      </c>
      <c r="T4" s="134" t="s">
        <v>14</v>
      </c>
      <c r="U4" s="135" t="s">
        <v>651</v>
      </c>
      <c r="V4" s="135" t="s">
        <v>94</v>
      </c>
      <c r="W4" s="136" t="s">
        <v>95</v>
      </c>
      <c r="X4" s="137" t="s">
        <v>1</v>
      </c>
      <c r="Y4" s="138" t="s">
        <v>21</v>
      </c>
      <c r="Z4" s="139" t="s">
        <v>22</v>
      </c>
      <c r="AA4" s="140" t="s">
        <v>4</v>
      </c>
      <c r="AB4" s="141" t="s">
        <v>5</v>
      </c>
      <c r="AC4" s="142" t="s">
        <v>33</v>
      </c>
      <c r="AD4" s="469" t="s">
        <v>3</v>
      </c>
      <c r="AE4" s="470" t="s">
        <v>7</v>
      </c>
      <c r="AF4" s="471" t="s">
        <v>32</v>
      </c>
      <c r="AG4" s="472" t="s">
        <v>28</v>
      </c>
      <c r="AH4" s="472" t="s">
        <v>29</v>
      </c>
      <c r="AI4" s="473" t="s">
        <v>687</v>
      </c>
      <c r="AJ4" s="474" t="s">
        <v>11</v>
      </c>
      <c r="AK4" s="474" t="s">
        <v>12</v>
      </c>
      <c r="AL4" s="475" t="s">
        <v>688</v>
      </c>
      <c r="AM4" s="476" t="s">
        <v>689</v>
      </c>
      <c r="AN4" s="477" t="s">
        <v>682</v>
      </c>
      <c r="AO4" s="643"/>
      <c r="AP4" s="633"/>
      <c r="AQ4" s="621"/>
      <c r="AR4" s="468">
        <f>AO91-AP91</f>
        <v>83421.852410112508</v>
      </c>
      <c r="AS4" s="618"/>
      <c r="AT4" s="649"/>
      <c r="AU4" s="440" t="s">
        <v>179</v>
      </c>
      <c r="AV4" s="628"/>
    </row>
    <row r="5" spans="1:48" s="5" customFormat="1" ht="13.9" customHeight="1" thickBot="1" x14ac:dyDescent="0.25">
      <c r="B5" s="513"/>
      <c r="C5" s="144"/>
      <c r="D5" s="145"/>
      <c r="E5" s="146"/>
      <c r="F5" s="147"/>
      <c r="G5" s="148"/>
      <c r="H5" s="148"/>
      <c r="I5" s="148"/>
      <c r="J5" s="148"/>
      <c r="K5" s="148"/>
      <c r="L5" s="149"/>
      <c r="M5" s="150"/>
      <c r="N5" s="151"/>
      <c r="O5" s="151"/>
      <c r="P5" s="152"/>
      <c r="Q5" s="153"/>
      <c r="R5" s="153"/>
      <c r="S5" s="153"/>
      <c r="T5" s="152"/>
      <c r="U5" s="152"/>
      <c r="V5" s="152"/>
      <c r="W5" s="152"/>
      <c r="X5" s="145"/>
      <c r="Y5" s="152"/>
      <c r="Z5" s="152"/>
      <c r="AA5" s="154"/>
      <c r="AB5" s="155">
        <v>0.6</v>
      </c>
      <c r="AC5" s="156"/>
      <c r="AD5" s="157">
        <f>H127</f>
        <v>3735960</v>
      </c>
      <c r="AE5" s="158">
        <f>AD91</f>
        <v>3620.6999999999994</v>
      </c>
      <c r="AF5" s="159"/>
      <c r="AG5" s="160">
        <f>AG91</f>
        <v>2995.1999999999994</v>
      </c>
      <c r="AH5" s="160">
        <f>H125</f>
        <v>500000</v>
      </c>
      <c r="AI5" s="161"/>
      <c r="AJ5" s="162">
        <f>AJ91</f>
        <v>273</v>
      </c>
      <c r="AK5" s="163">
        <f>H126</f>
        <v>500000</v>
      </c>
      <c r="AL5" s="164"/>
      <c r="AM5" s="165"/>
      <c r="AN5" s="165"/>
      <c r="AO5" s="166"/>
      <c r="AP5" s="166"/>
      <c r="AQ5" s="167"/>
      <c r="AR5" s="166"/>
      <c r="AS5" s="168"/>
      <c r="AT5" s="169"/>
      <c r="AU5" s="441"/>
      <c r="AV5" s="457"/>
    </row>
    <row r="6" spans="1:48" s="1" customFormat="1" ht="33" customHeight="1" x14ac:dyDescent="0.2">
      <c r="A6" s="650" t="s">
        <v>826</v>
      </c>
      <c r="B6" s="543">
        <v>1</v>
      </c>
      <c r="C6" s="598" t="s">
        <v>30</v>
      </c>
      <c r="D6" s="171" t="s">
        <v>627</v>
      </c>
      <c r="E6" s="172" t="s">
        <v>313</v>
      </c>
      <c r="F6" s="173" t="s">
        <v>122</v>
      </c>
      <c r="G6" s="174" t="s">
        <v>197</v>
      </c>
      <c r="H6" s="175" t="s">
        <v>121</v>
      </c>
      <c r="I6" s="175" t="s">
        <v>314</v>
      </c>
      <c r="J6" s="175" t="s">
        <v>241</v>
      </c>
      <c r="K6" s="175" t="s">
        <v>242</v>
      </c>
      <c r="L6" s="517">
        <v>13000</v>
      </c>
      <c r="M6" s="176">
        <v>43500</v>
      </c>
      <c r="N6" s="562" t="s">
        <v>696</v>
      </c>
      <c r="O6" s="177">
        <f>+P6+T6</f>
        <v>18</v>
      </c>
      <c r="P6" s="178">
        <f>+Q6+R6+S6</f>
        <v>0</v>
      </c>
      <c r="Q6" s="179">
        <v>0</v>
      </c>
      <c r="R6" s="180">
        <v>0</v>
      </c>
      <c r="S6" s="181">
        <v>0</v>
      </c>
      <c r="T6" s="182">
        <f>+U6+V6+W6</f>
        <v>18</v>
      </c>
      <c r="U6" s="179">
        <v>0</v>
      </c>
      <c r="V6" s="180">
        <v>3</v>
      </c>
      <c r="W6" s="181">
        <v>15</v>
      </c>
      <c r="X6" s="183">
        <f>+Y6+Z6</f>
        <v>0</v>
      </c>
      <c r="Y6" s="184">
        <v>0</v>
      </c>
      <c r="Z6" s="178">
        <v>0</v>
      </c>
      <c r="AA6" s="185">
        <f>M6</f>
        <v>43500</v>
      </c>
      <c r="AB6" s="183">
        <f t="shared" ref="AB6:AB25" si="0">AA6*koef</f>
        <v>26100</v>
      </c>
      <c r="AC6" s="184">
        <v>47000</v>
      </c>
      <c r="AD6" s="186">
        <f>(Q6*0)+(R6*1)+(S6*0.5)+(U6*0)+(V6*0.3)+(W6*0)</f>
        <v>0.89999999999999991</v>
      </c>
      <c r="AE6" s="187">
        <f t="shared" ref="AE6:AE36" si="1">čLENN/_BOD1</f>
        <v>1031.8336233325049</v>
      </c>
      <c r="AF6" s="188">
        <f>AD6*AE6</f>
        <v>928.65026099925433</v>
      </c>
      <c r="AG6" s="189">
        <f t="shared" ref="AG6:AG36" si="2">(R6*1)+(V6*0.3)</f>
        <v>0.89999999999999991</v>
      </c>
      <c r="AH6" s="189">
        <f t="shared" ref="AH6:AH50" si="3">celkemdeti/deti</f>
        <v>166.93376068376071</v>
      </c>
      <c r="AI6" s="190">
        <f>AG6*AH6</f>
        <v>150.24038461538461</v>
      </c>
      <c r="AJ6" s="191">
        <f t="shared" ref="AJ6:AJ36" si="4">Y6</f>
        <v>0</v>
      </c>
      <c r="AK6" s="191">
        <f t="shared" ref="AK6:AK68" si="5">celkemtrener/TRENER</f>
        <v>1831.5018315018315</v>
      </c>
      <c r="AL6" s="190">
        <f>AJ6*AK6</f>
        <v>0</v>
      </c>
      <c r="AM6" s="188">
        <v>10000</v>
      </c>
      <c r="AN6" s="184">
        <v>0</v>
      </c>
      <c r="AO6" s="184">
        <f>AF6+AI6+AL6+AM6</f>
        <v>11078.89064561464</v>
      </c>
      <c r="AP6" s="188">
        <f t="shared" ref="AP6:AP36" si="6">IF(AV6=1,AB6,AO6)</f>
        <v>11078.89064561464</v>
      </c>
      <c r="AQ6" s="192">
        <f t="shared" ref="AQ6:AQ36" si="7">IF(AV6=1,0,AD6)</f>
        <v>0.89999999999999991</v>
      </c>
      <c r="AR6" s="188">
        <f>(Zůstatek/členovéstrop)*AQ6</f>
        <v>21.621214447545359</v>
      </c>
      <c r="AS6" s="193">
        <f t="shared" ref="AS6:AS65" si="8">AP6+AR6</f>
        <v>11100.511860062184</v>
      </c>
      <c r="AT6" s="428">
        <f>ROUND(AS6,-2)</f>
        <v>11100</v>
      </c>
      <c r="AU6" s="442" t="s">
        <v>122</v>
      </c>
      <c r="AV6" s="20">
        <f t="shared" ref="AV6:AV36" si="9">IF(AB6&gt;=AO6,0,1)</f>
        <v>0</v>
      </c>
    </row>
    <row r="7" spans="1:48" s="1" customFormat="1" ht="32.25" customHeight="1" x14ac:dyDescent="0.2">
      <c r="A7" s="651"/>
      <c r="B7" s="544">
        <v>2</v>
      </c>
      <c r="C7" s="598"/>
      <c r="D7" s="194" t="s">
        <v>309</v>
      </c>
      <c r="E7" s="195" t="s">
        <v>310</v>
      </c>
      <c r="F7" s="196" t="s">
        <v>80</v>
      </c>
      <c r="G7" s="197" t="s">
        <v>197</v>
      </c>
      <c r="H7" s="198">
        <v>22725491</v>
      </c>
      <c r="I7" s="198" t="s">
        <v>198</v>
      </c>
      <c r="J7" s="198" t="s">
        <v>199</v>
      </c>
      <c r="K7" s="198" t="s">
        <v>200</v>
      </c>
      <c r="L7" s="240">
        <v>162000</v>
      </c>
      <c r="M7" s="199">
        <v>589000</v>
      </c>
      <c r="N7" s="561" t="s">
        <v>697</v>
      </c>
      <c r="O7" s="200">
        <f>+P7+T7</f>
        <v>353</v>
      </c>
      <c r="P7" s="201">
        <f>+Q7+R7+S7</f>
        <v>24</v>
      </c>
      <c r="Q7" s="202">
        <v>0</v>
      </c>
      <c r="R7" s="203">
        <v>21</v>
      </c>
      <c r="S7" s="204">
        <v>3</v>
      </c>
      <c r="T7" s="205">
        <f>+U7+V7+W7</f>
        <v>329</v>
      </c>
      <c r="U7" s="206">
        <v>0</v>
      </c>
      <c r="V7" s="184">
        <v>128</v>
      </c>
      <c r="W7" s="207">
        <v>201</v>
      </c>
      <c r="X7" s="183">
        <f>+Y7+Z7</f>
        <v>5</v>
      </c>
      <c r="Y7" s="203">
        <v>5</v>
      </c>
      <c r="Z7" s="178">
        <v>0</v>
      </c>
      <c r="AA7" s="208">
        <f t="shared" ref="AA7:AA69" si="10">M7</f>
        <v>589000</v>
      </c>
      <c r="AB7" s="209">
        <f t="shared" si="0"/>
        <v>353400</v>
      </c>
      <c r="AC7" s="184">
        <v>133950</v>
      </c>
      <c r="AD7" s="93">
        <f>(Q7*0)+(R7*1)+(S7*0.5)+(U7*0)+(V7*0.3)+(W7*0)</f>
        <v>60.9</v>
      </c>
      <c r="AE7" s="210">
        <f t="shared" si="1"/>
        <v>1031.8336233325049</v>
      </c>
      <c r="AF7" s="211">
        <f>AD7*AE7</f>
        <v>62838.667660949548</v>
      </c>
      <c r="AG7" s="212">
        <f t="shared" si="2"/>
        <v>59.4</v>
      </c>
      <c r="AH7" s="212">
        <f t="shared" si="3"/>
        <v>166.93376068376071</v>
      </c>
      <c r="AI7" s="213">
        <f>AG7*AH7</f>
        <v>9915.8653846153866</v>
      </c>
      <c r="AJ7" s="214">
        <f t="shared" si="4"/>
        <v>5</v>
      </c>
      <c r="AK7" s="191">
        <f t="shared" si="5"/>
        <v>1831.5018315018315</v>
      </c>
      <c r="AL7" s="190">
        <f t="shared" ref="AL7:AL69" si="11">AJ7*AK7</f>
        <v>9157.5091575091574</v>
      </c>
      <c r="AM7" s="211">
        <v>10000</v>
      </c>
      <c r="AN7" s="203">
        <v>0</v>
      </c>
      <c r="AO7" s="203">
        <f>AF7+AI7+AL7+AM7</f>
        <v>91912.042203074088</v>
      </c>
      <c r="AP7" s="211">
        <f t="shared" si="6"/>
        <v>91912.042203074088</v>
      </c>
      <c r="AQ7" s="215">
        <f t="shared" si="7"/>
        <v>60.9</v>
      </c>
      <c r="AR7" s="211">
        <f t="shared" ref="AR7:AR36" si="12">(Zůstatek/členovéstrop)*AQ7</f>
        <v>1463.0355109505692</v>
      </c>
      <c r="AS7" s="216">
        <f t="shared" si="8"/>
        <v>93375.077714024665</v>
      </c>
      <c r="AT7" s="429">
        <f t="shared" ref="AT7:AT69" si="13">ROUND(AS7,-2)</f>
        <v>93400</v>
      </c>
      <c r="AU7" s="443" t="s">
        <v>80</v>
      </c>
      <c r="AV7" s="20">
        <f t="shared" si="9"/>
        <v>0</v>
      </c>
    </row>
    <row r="8" spans="1:48" s="1" customFormat="1" ht="33" customHeight="1" x14ac:dyDescent="0.2">
      <c r="A8" s="651"/>
      <c r="B8" s="544">
        <v>3</v>
      </c>
      <c r="C8" s="598"/>
      <c r="D8" s="194" t="s">
        <v>315</v>
      </c>
      <c r="E8" s="195" t="s">
        <v>316</v>
      </c>
      <c r="F8" s="196" t="s">
        <v>44</v>
      </c>
      <c r="G8" s="197" t="s">
        <v>197</v>
      </c>
      <c r="H8" s="198" t="s">
        <v>43</v>
      </c>
      <c r="I8" s="198" t="s">
        <v>317</v>
      </c>
      <c r="J8" s="198" t="s">
        <v>241</v>
      </c>
      <c r="K8" s="198" t="s">
        <v>242</v>
      </c>
      <c r="L8" s="240">
        <v>15000</v>
      </c>
      <c r="M8" s="199">
        <v>39000</v>
      </c>
      <c r="N8" s="561" t="s">
        <v>698</v>
      </c>
      <c r="O8" s="200">
        <f t="shared" ref="O8:O65" si="14">+P8+T8</f>
        <v>12</v>
      </c>
      <c r="P8" s="201">
        <f t="shared" ref="P8:P10" si="15">+Q8+R8+S8</f>
        <v>7</v>
      </c>
      <c r="Q8" s="202">
        <v>0</v>
      </c>
      <c r="R8" s="203">
        <v>0</v>
      </c>
      <c r="S8" s="204">
        <v>7</v>
      </c>
      <c r="T8" s="205">
        <f t="shared" ref="T8:T10" si="16">+U8+V8+W8</f>
        <v>5</v>
      </c>
      <c r="U8" s="202">
        <v>0</v>
      </c>
      <c r="V8" s="203">
        <v>0</v>
      </c>
      <c r="W8" s="204">
        <v>5</v>
      </c>
      <c r="X8" s="209">
        <f t="shared" ref="X8:X10" si="17">+Y8+Z8</f>
        <v>0</v>
      </c>
      <c r="Y8" s="203">
        <v>0</v>
      </c>
      <c r="Z8" s="201">
        <v>0</v>
      </c>
      <c r="AA8" s="208">
        <f t="shared" si="10"/>
        <v>39000</v>
      </c>
      <c r="AB8" s="209">
        <f t="shared" si="0"/>
        <v>23400</v>
      </c>
      <c r="AC8" s="203">
        <v>7000</v>
      </c>
      <c r="AD8" s="93">
        <f t="shared" ref="AD8:AD65" si="18">(Q8*0)+(R8*1)+(S8*0.5)+(U8*0)+(V8*0.3)+(W8*0)</f>
        <v>3.5</v>
      </c>
      <c r="AE8" s="210">
        <f t="shared" si="1"/>
        <v>1031.8336233325049</v>
      </c>
      <c r="AF8" s="211">
        <f t="shared" ref="AF8:AF36" si="19">AD8*AE8</f>
        <v>3611.4176816637673</v>
      </c>
      <c r="AG8" s="212">
        <f t="shared" si="2"/>
        <v>0</v>
      </c>
      <c r="AH8" s="212">
        <f t="shared" si="3"/>
        <v>166.93376068376071</v>
      </c>
      <c r="AI8" s="213">
        <f t="shared" ref="AI8:AI65" si="20">AG8*AH8</f>
        <v>0</v>
      </c>
      <c r="AJ8" s="214">
        <f t="shared" si="4"/>
        <v>0</v>
      </c>
      <c r="AK8" s="191">
        <f t="shared" si="5"/>
        <v>1831.5018315018315</v>
      </c>
      <c r="AL8" s="190">
        <f t="shared" si="11"/>
        <v>0</v>
      </c>
      <c r="AM8" s="211">
        <v>10000</v>
      </c>
      <c r="AN8" s="203">
        <v>0</v>
      </c>
      <c r="AO8" s="203">
        <f t="shared" ref="AO8:AO65" si="21">AF8+AI8+AL8+AM8</f>
        <v>13611.417681663766</v>
      </c>
      <c r="AP8" s="211">
        <f t="shared" si="6"/>
        <v>13611.417681663766</v>
      </c>
      <c r="AQ8" s="215">
        <f t="shared" si="7"/>
        <v>3.5</v>
      </c>
      <c r="AR8" s="211">
        <f t="shared" si="12"/>
        <v>84.082500629343059</v>
      </c>
      <c r="AS8" s="216">
        <f t="shared" si="8"/>
        <v>13695.50018229311</v>
      </c>
      <c r="AT8" s="429">
        <f t="shared" si="13"/>
        <v>13700</v>
      </c>
      <c r="AU8" s="443" t="s">
        <v>44</v>
      </c>
      <c r="AV8" s="20">
        <f t="shared" si="9"/>
        <v>0</v>
      </c>
    </row>
    <row r="9" spans="1:48" s="1" customFormat="1" ht="33" customHeight="1" x14ac:dyDescent="0.2">
      <c r="A9" s="651"/>
      <c r="B9" s="544">
        <v>4</v>
      </c>
      <c r="C9" s="598"/>
      <c r="D9" s="194" t="s">
        <v>318</v>
      </c>
      <c r="E9" s="195" t="s">
        <v>319</v>
      </c>
      <c r="F9" s="196" t="s">
        <v>113</v>
      </c>
      <c r="G9" s="197" t="s">
        <v>197</v>
      </c>
      <c r="H9" s="198">
        <v>22681183</v>
      </c>
      <c r="I9" s="198" t="s">
        <v>320</v>
      </c>
      <c r="J9" s="198" t="s">
        <v>241</v>
      </c>
      <c r="K9" s="198" t="s">
        <v>242</v>
      </c>
      <c r="L9" s="240">
        <v>25000</v>
      </c>
      <c r="M9" s="199">
        <v>70000</v>
      </c>
      <c r="N9" s="561" t="s">
        <v>699</v>
      </c>
      <c r="O9" s="200">
        <f t="shared" si="14"/>
        <v>26</v>
      </c>
      <c r="P9" s="201">
        <f t="shared" si="15"/>
        <v>26</v>
      </c>
      <c r="Q9" s="202">
        <v>0</v>
      </c>
      <c r="R9" s="203">
        <v>2</v>
      </c>
      <c r="S9" s="204">
        <v>24</v>
      </c>
      <c r="T9" s="205">
        <f t="shared" si="16"/>
        <v>0</v>
      </c>
      <c r="U9" s="202">
        <v>0</v>
      </c>
      <c r="V9" s="203">
        <v>0</v>
      </c>
      <c r="W9" s="204">
        <v>0</v>
      </c>
      <c r="X9" s="209">
        <f t="shared" si="17"/>
        <v>0</v>
      </c>
      <c r="Y9" s="203">
        <v>0</v>
      </c>
      <c r="Z9" s="201">
        <v>0</v>
      </c>
      <c r="AA9" s="208">
        <f t="shared" si="10"/>
        <v>70000</v>
      </c>
      <c r="AB9" s="209">
        <f t="shared" si="0"/>
        <v>42000</v>
      </c>
      <c r="AC9" s="203">
        <v>12000</v>
      </c>
      <c r="AD9" s="93">
        <f t="shared" si="18"/>
        <v>14</v>
      </c>
      <c r="AE9" s="210">
        <f t="shared" si="1"/>
        <v>1031.8336233325049</v>
      </c>
      <c r="AF9" s="211">
        <f t="shared" si="19"/>
        <v>14445.670726655069</v>
      </c>
      <c r="AG9" s="212">
        <f t="shared" si="2"/>
        <v>2</v>
      </c>
      <c r="AH9" s="212">
        <f t="shared" si="3"/>
        <v>166.93376068376071</v>
      </c>
      <c r="AI9" s="213">
        <f t="shared" si="20"/>
        <v>333.86752136752142</v>
      </c>
      <c r="AJ9" s="214">
        <f t="shared" si="4"/>
        <v>0</v>
      </c>
      <c r="AK9" s="191">
        <f t="shared" si="5"/>
        <v>1831.5018315018315</v>
      </c>
      <c r="AL9" s="190">
        <f t="shared" si="11"/>
        <v>0</v>
      </c>
      <c r="AM9" s="211">
        <v>10000</v>
      </c>
      <c r="AN9" s="203">
        <v>0</v>
      </c>
      <c r="AO9" s="203">
        <f t="shared" si="21"/>
        <v>24779.538248022589</v>
      </c>
      <c r="AP9" s="211">
        <f t="shared" si="6"/>
        <v>24779.538248022589</v>
      </c>
      <c r="AQ9" s="215">
        <f t="shared" si="7"/>
        <v>14</v>
      </c>
      <c r="AR9" s="211">
        <f t="shared" si="12"/>
        <v>336.33000251737224</v>
      </c>
      <c r="AS9" s="216">
        <f t="shared" si="8"/>
        <v>25115.868250539963</v>
      </c>
      <c r="AT9" s="429">
        <f t="shared" si="13"/>
        <v>25100</v>
      </c>
      <c r="AU9" s="443" t="s">
        <v>113</v>
      </c>
      <c r="AV9" s="20">
        <f t="shared" si="9"/>
        <v>0</v>
      </c>
    </row>
    <row r="10" spans="1:48" s="1" customFormat="1" ht="33" customHeight="1" x14ac:dyDescent="0.2">
      <c r="A10" s="651"/>
      <c r="B10" s="544">
        <v>5</v>
      </c>
      <c r="C10" s="598"/>
      <c r="D10" s="194" t="s">
        <v>321</v>
      </c>
      <c r="E10" s="195" t="s">
        <v>322</v>
      </c>
      <c r="F10" s="196" t="s">
        <v>323</v>
      </c>
      <c r="G10" s="197" t="s">
        <v>197</v>
      </c>
      <c r="H10" s="198" t="s">
        <v>324</v>
      </c>
      <c r="I10" s="198" t="s">
        <v>325</v>
      </c>
      <c r="J10" s="198" t="s">
        <v>241</v>
      </c>
      <c r="K10" s="198" t="s">
        <v>242</v>
      </c>
      <c r="L10" s="240">
        <v>15000</v>
      </c>
      <c r="M10" s="199">
        <v>93000</v>
      </c>
      <c r="N10" s="561" t="s">
        <v>700</v>
      </c>
      <c r="O10" s="200">
        <f t="shared" si="14"/>
        <v>30</v>
      </c>
      <c r="P10" s="201">
        <f t="shared" si="15"/>
        <v>21</v>
      </c>
      <c r="Q10" s="202">
        <v>0</v>
      </c>
      <c r="R10" s="203">
        <v>0</v>
      </c>
      <c r="S10" s="204">
        <v>21</v>
      </c>
      <c r="T10" s="205">
        <f t="shared" si="16"/>
        <v>9</v>
      </c>
      <c r="U10" s="202">
        <v>0</v>
      </c>
      <c r="V10" s="203">
        <v>0</v>
      </c>
      <c r="W10" s="204">
        <v>9</v>
      </c>
      <c r="X10" s="209">
        <f t="shared" si="17"/>
        <v>0</v>
      </c>
      <c r="Y10" s="203">
        <v>0</v>
      </c>
      <c r="Z10" s="201">
        <v>0</v>
      </c>
      <c r="AA10" s="208">
        <f t="shared" si="10"/>
        <v>93000</v>
      </c>
      <c r="AB10" s="209">
        <f t="shared" si="0"/>
        <v>55800</v>
      </c>
      <c r="AC10" s="203">
        <v>55000</v>
      </c>
      <c r="AD10" s="93">
        <f t="shared" si="18"/>
        <v>10.5</v>
      </c>
      <c r="AE10" s="210">
        <f t="shared" si="1"/>
        <v>1031.8336233325049</v>
      </c>
      <c r="AF10" s="211">
        <f t="shared" si="19"/>
        <v>10834.253044991301</v>
      </c>
      <c r="AG10" s="212">
        <f t="shared" si="2"/>
        <v>0</v>
      </c>
      <c r="AH10" s="212">
        <f t="shared" si="3"/>
        <v>166.93376068376071</v>
      </c>
      <c r="AI10" s="213">
        <f t="shared" si="20"/>
        <v>0</v>
      </c>
      <c r="AJ10" s="214">
        <f t="shared" si="4"/>
        <v>0</v>
      </c>
      <c r="AK10" s="191">
        <f t="shared" si="5"/>
        <v>1831.5018315018315</v>
      </c>
      <c r="AL10" s="190">
        <f t="shared" si="11"/>
        <v>0</v>
      </c>
      <c r="AM10" s="211">
        <v>10000</v>
      </c>
      <c r="AN10" s="203">
        <v>0</v>
      </c>
      <c r="AO10" s="203">
        <f t="shared" si="21"/>
        <v>20834.253044991303</v>
      </c>
      <c r="AP10" s="211">
        <f t="shared" si="6"/>
        <v>20834.253044991303</v>
      </c>
      <c r="AQ10" s="215">
        <f t="shared" si="7"/>
        <v>10.5</v>
      </c>
      <c r="AR10" s="211">
        <f t="shared" si="12"/>
        <v>252.24750188802921</v>
      </c>
      <c r="AS10" s="216">
        <f t="shared" si="8"/>
        <v>21086.500546879332</v>
      </c>
      <c r="AT10" s="429">
        <f t="shared" si="13"/>
        <v>21100</v>
      </c>
      <c r="AU10" s="443" t="s">
        <v>323</v>
      </c>
      <c r="AV10" s="20">
        <f t="shared" si="9"/>
        <v>0</v>
      </c>
    </row>
    <row r="11" spans="1:48" s="1" customFormat="1" ht="33" customHeight="1" x14ac:dyDescent="0.2">
      <c r="A11" s="651"/>
      <c r="B11" s="544">
        <v>6</v>
      </c>
      <c r="C11" s="598"/>
      <c r="D11" s="194" t="s">
        <v>326</v>
      </c>
      <c r="E11" s="195" t="s">
        <v>327</v>
      </c>
      <c r="F11" s="196" t="s">
        <v>98</v>
      </c>
      <c r="G11" s="197" t="s">
        <v>197</v>
      </c>
      <c r="H11" s="198">
        <v>14615606</v>
      </c>
      <c r="I11" s="198" t="s">
        <v>328</v>
      </c>
      <c r="J11" s="198" t="s">
        <v>241</v>
      </c>
      <c r="K11" s="198" t="s">
        <v>242</v>
      </c>
      <c r="L11" s="240">
        <v>10000</v>
      </c>
      <c r="M11" s="199">
        <v>28000</v>
      </c>
      <c r="N11" s="561" t="s">
        <v>701</v>
      </c>
      <c r="O11" s="200">
        <f t="shared" si="14"/>
        <v>43</v>
      </c>
      <c r="P11" s="201">
        <f t="shared" ref="P11:P13" si="22">+Q11+R11+S11</f>
        <v>0</v>
      </c>
      <c r="Q11" s="202">
        <v>0</v>
      </c>
      <c r="R11" s="203">
        <v>0</v>
      </c>
      <c r="S11" s="204">
        <v>0</v>
      </c>
      <c r="T11" s="205">
        <f t="shared" ref="T11:T13" si="23">+U11+V11+W11</f>
        <v>43</v>
      </c>
      <c r="U11" s="202">
        <v>0</v>
      </c>
      <c r="V11" s="203">
        <v>0</v>
      </c>
      <c r="W11" s="204">
        <v>43</v>
      </c>
      <c r="X11" s="209">
        <v>0</v>
      </c>
      <c r="Y11" s="203">
        <v>0</v>
      </c>
      <c r="Z11" s="201">
        <v>0</v>
      </c>
      <c r="AA11" s="208">
        <f t="shared" si="10"/>
        <v>28000</v>
      </c>
      <c r="AB11" s="209">
        <f t="shared" ref="AB11:AB13" si="24">AA11*koef</f>
        <v>16800</v>
      </c>
      <c r="AC11" s="203">
        <v>11000</v>
      </c>
      <c r="AD11" s="93">
        <f t="shared" si="18"/>
        <v>0</v>
      </c>
      <c r="AE11" s="210">
        <f t="shared" si="1"/>
        <v>1031.8336233325049</v>
      </c>
      <c r="AF11" s="211">
        <f t="shared" si="19"/>
        <v>0</v>
      </c>
      <c r="AG11" s="212">
        <f t="shared" si="2"/>
        <v>0</v>
      </c>
      <c r="AH11" s="212">
        <f t="shared" si="3"/>
        <v>166.93376068376071</v>
      </c>
      <c r="AI11" s="213">
        <f t="shared" si="20"/>
        <v>0</v>
      </c>
      <c r="AJ11" s="214">
        <f t="shared" si="4"/>
        <v>0</v>
      </c>
      <c r="AK11" s="191">
        <f t="shared" si="5"/>
        <v>1831.5018315018315</v>
      </c>
      <c r="AL11" s="190">
        <f t="shared" si="11"/>
        <v>0</v>
      </c>
      <c r="AM11" s="211">
        <v>10000</v>
      </c>
      <c r="AN11" s="203">
        <v>0</v>
      </c>
      <c r="AO11" s="203">
        <f t="shared" si="21"/>
        <v>10000</v>
      </c>
      <c r="AP11" s="211">
        <f t="shared" si="6"/>
        <v>10000</v>
      </c>
      <c r="AQ11" s="215">
        <f t="shared" si="7"/>
        <v>0</v>
      </c>
      <c r="AR11" s="211">
        <f t="shared" si="12"/>
        <v>0</v>
      </c>
      <c r="AS11" s="216">
        <f t="shared" si="8"/>
        <v>10000</v>
      </c>
      <c r="AT11" s="429">
        <f t="shared" si="13"/>
        <v>10000</v>
      </c>
      <c r="AU11" s="443" t="s">
        <v>98</v>
      </c>
      <c r="AV11" s="20">
        <f t="shared" si="9"/>
        <v>0</v>
      </c>
    </row>
    <row r="12" spans="1:48" s="1" customFormat="1" ht="33" customHeight="1" x14ac:dyDescent="0.2">
      <c r="A12" s="651"/>
      <c r="B12" s="544">
        <v>7</v>
      </c>
      <c r="C12" s="598"/>
      <c r="D12" s="194" t="s">
        <v>329</v>
      </c>
      <c r="E12" s="195" t="s">
        <v>330</v>
      </c>
      <c r="F12" s="196" t="s">
        <v>42</v>
      </c>
      <c r="G12" s="197" t="s">
        <v>197</v>
      </c>
      <c r="H12" s="198" t="s">
        <v>41</v>
      </c>
      <c r="I12" s="198" t="s">
        <v>331</v>
      </c>
      <c r="J12" s="198" t="s">
        <v>241</v>
      </c>
      <c r="K12" s="198" t="s">
        <v>242</v>
      </c>
      <c r="L12" s="240">
        <v>25000</v>
      </c>
      <c r="M12" s="199">
        <v>232000</v>
      </c>
      <c r="N12" s="561" t="s">
        <v>702</v>
      </c>
      <c r="O12" s="200">
        <f t="shared" si="14"/>
        <v>20</v>
      </c>
      <c r="P12" s="201">
        <f t="shared" si="22"/>
        <v>20</v>
      </c>
      <c r="Q12" s="202">
        <v>0</v>
      </c>
      <c r="R12" s="203">
        <v>6</v>
      </c>
      <c r="S12" s="204">
        <v>14</v>
      </c>
      <c r="T12" s="205">
        <f t="shared" si="23"/>
        <v>0</v>
      </c>
      <c r="U12" s="202">
        <v>0</v>
      </c>
      <c r="V12" s="203">
        <v>0</v>
      </c>
      <c r="W12" s="204">
        <v>0</v>
      </c>
      <c r="X12" s="209">
        <f t="shared" ref="X12:X13" si="25">+Y12+Z12</f>
        <v>0</v>
      </c>
      <c r="Y12" s="203">
        <v>0</v>
      </c>
      <c r="Z12" s="201">
        <v>0</v>
      </c>
      <c r="AA12" s="208">
        <f t="shared" si="10"/>
        <v>232000</v>
      </c>
      <c r="AB12" s="209">
        <f t="shared" si="24"/>
        <v>139200</v>
      </c>
      <c r="AC12" s="203">
        <v>3000</v>
      </c>
      <c r="AD12" s="93">
        <f t="shared" si="18"/>
        <v>13</v>
      </c>
      <c r="AE12" s="210">
        <f t="shared" si="1"/>
        <v>1031.8336233325049</v>
      </c>
      <c r="AF12" s="211">
        <f t="shared" si="19"/>
        <v>13413.837103322563</v>
      </c>
      <c r="AG12" s="212">
        <f t="shared" si="2"/>
        <v>6</v>
      </c>
      <c r="AH12" s="212">
        <f t="shared" si="3"/>
        <v>166.93376068376071</v>
      </c>
      <c r="AI12" s="213">
        <f t="shared" si="20"/>
        <v>1001.6025641025642</v>
      </c>
      <c r="AJ12" s="214">
        <f t="shared" si="4"/>
        <v>0</v>
      </c>
      <c r="AK12" s="191">
        <f t="shared" si="5"/>
        <v>1831.5018315018315</v>
      </c>
      <c r="AL12" s="190">
        <f t="shared" si="11"/>
        <v>0</v>
      </c>
      <c r="AM12" s="211">
        <v>10000</v>
      </c>
      <c r="AN12" s="203">
        <v>0</v>
      </c>
      <c r="AO12" s="203">
        <f t="shared" si="21"/>
        <v>24415.439667425126</v>
      </c>
      <c r="AP12" s="211">
        <f t="shared" si="6"/>
        <v>24415.439667425126</v>
      </c>
      <c r="AQ12" s="215">
        <f t="shared" si="7"/>
        <v>13</v>
      </c>
      <c r="AR12" s="211">
        <f t="shared" si="12"/>
        <v>312.30643090898855</v>
      </c>
      <c r="AS12" s="216">
        <f t="shared" si="8"/>
        <v>24727.746098334115</v>
      </c>
      <c r="AT12" s="429">
        <f t="shared" si="13"/>
        <v>24700</v>
      </c>
      <c r="AU12" s="443" t="s">
        <v>42</v>
      </c>
      <c r="AV12" s="20">
        <f t="shared" si="9"/>
        <v>0</v>
      </c>
    </row>
    <row r="13" spans="1:48" s="1" customFormat="1" ht="43.5" customHeight="1" x14ac:dyDescent="0.2">
      <c r="A13" s="651"/>
      <c r="B13" s="544">
        <v>8</v>
      </c>
      <c r="C13" s="598"/>
      <c r="D13" s="194" t="s">
        <v>332</v>
      </c>
      <c r="E13" s="195" t="s">
        <v>333</v>
      </c>
      <c r="F13" s="196" t="s">
        <v>83</v>
      </c>
      <c r="G13" s="197" t="s">
        <v>197</v>
      </c>
      <c r="H13" s="198">
        <v>66144329</v>
      </c>
      <c r="I13" s="198" t="s">
        <v>334</v>
      </c>
      <c r="J13" s="198" t="s">
        <v>241</v>
      </c>
      <c r="K13" s="198" t="s">
        <v>242</v>
      </c>
      <c r="L13" s="240">
        <v>10000</v>
      </c>
      <c r="M13" s="199">
        <v>21000</v>
      </c>
      <c r="N13" s="561" t="s">
        <v>703</v>
      </c>
      <c r="O13" s="200">
        <f t="shared" si="14"/>
        <v>19</v>
      </c>
      <c r="P13" s="201">
        <f t="shared" si="22"/>
        <v>0</v>
      </c>
      <c r="Q13" s="202">
        <v>0</v>
      </c>
      <c r="R13" s="203">
        <v>0</v>
      </c>
      <c r="S13" s="204">
        <v>0</v>
      </c>
      <c r="T13" s="205">
        <f t="shared" si="23"/>
        <v>19</v>
      </c>
      <c r="U13" s="202">
        <v>0</v>
      </c>
      <c r="V13" s="203">
        <v>0</v>
      </c>
      <c r="W13" s="204">
        <v>19</v>
      </c>
      <c r="X13" s="209">
        <f t="shared" si="25"/>
        <v>0</v>
      </c>
      <c r="Y13" s="203">
        <v>0</v>
      </c>
      <c r="Z13" s="201">
        <v>0</v>
      </c>
      <c r="AA13" s="208">
        <f t="shared" si="10"/>
        <v>21000</v>
      </c>
      <c r="AB13" s="209">
        <f t="shared" si="24"/>
        <v>12600</v>
      </c>
      <c r="AC13" s="203">
        <v>14000</v>
      </c>
      <c r="AD13" s="93">
        <f t="shared" si="18"/>
        <v>0</v>
      </c>
      <c r="AE13" s="210">
        <f t="shared" si="1"/>
        <v>1031.8336233325049</v>
      </c>
      <c r="AF13" s="211">
        <f t="shared" si="19"/>
        <v>0</v>
      </c>
      <c r="AG13" s="212">
        <f t="shared" si="2"/>
        <v>0</v>
      </c>
      <c r="AH13" s="212">
        <f t="shared" si="3"/>
        <v>166.93376068376071</v>
      </c>
      <c r="AI13" s="213">
        <f t="shared" si="20"/>
        <v>0</v>
      </c>
      <c r="AJ13" s="214">
        <f t="shared" si="4"/>
        <v>0</v>
      </c>
      <c r="AK13" s="191">
        <f t="shared" si="5"/>
        <v>1831.5018315018315</v>
      </c>
      <c r="AL13" s="190">
        <f t="shared" si="11"/>
        <v>0</v>
      </c>
      <c r="AM13" s="211">
        <v>10000</v>
      </c>
      <c r="AN13" s="203">
        <v>0</v>
      </c>
      <c r="AO13" s="203">
        <f t="shared" si="21"/>
        <v>10000</v>
      </c>
      <c r="AP13" s="211">
        <f t="shared" si="6"/>
        <v>10000</v>
      </c>
      <c r="AQ13" s="215">
        <f t="shared" si="7"/>
        <v>0</v>
      </c>
      <c r="AR13" s="211">
        <f t="shared" si="12"/>
        <v>0</v>
      </c>
      <c r="AS13" s="216">
        <f t="shared" si="8"/>
        <v>10000</v>
      </c>
      <c r="AT13" s="429">
        <f t="shared" si="13"/>
        <v>10000</v>
      </c>
      <c r="AU13" s="443" t="s">
        <v>83</v>
      </c>
      <c r="AV13" s="20">
        <f t="shared" si="9"/>
        <v>0</v>
      </c>
    </row>
    <row r="14" spans="1:48" s="1" customFormat="1" ht="33" customHeight="1" x14ac:dyDescent="0.2">
      <c r="A14" s="651"/>
      <c r="B14" s="544">
        <v>9</v>
      </c>
      <c r="C14" s="598"/>
      <c r="D14" s="217" t="s">
        <v>335</v>
      </c>
      <c r="E14" s="218" t="s">
        <v>336</v>
      </c>
      <c r="F14" s="196" t="s">
        <v>62</v>
      </c>
      <c r="G14" s="219" t="s">
        <v>197</v>
      </c>
      <c r="H14" s="220">
        <v>70630127</v>
      </c>
      <c r="I14" s="220" t="s">
        <v>337</v>
      </c>
      <c r="J14" s="220" t="s">
        <v>241</v>
      </c>
      <c r="K14" s="220" t="s">
        <v>242</v>
      </c>
      <c r="L14" s="240">
        <v>22000</v>
      </c>
      <c r="M14" s="199">
        <v>58000</v>
      </c>
      <c r="N14" s="561" t="s">
        <v>704</v>
      </c>
      <c r="O14" s="200">
        <f t="shared" si="14"/>
        <v>201</v>
      </c>
      <c r="P14" s="201">
        <f t="shared" ref="P14" si="26">+Q14+R14+S14</f>
        <v>0</v>
      </c>
      <c r="Q14" s="202">
        <v>0</v>
      </c>
      <c r="R14" s="203">
        <v>0</v>
      </c>
      <c r="S14" s="204">
        <v>0</v>
      </c>
      <c r="T14" s="205">
        <f t="shared" ref="T14" si="27">+U14+V14+W14</f>
        <v>201</v>
      </c>
      <c r="U14" s="202">
        <v>0</v>
      </c>
      <c r="V14" s="203">
        <v>21</v>
      </c>
      <c r="W14" s="204">
        <v>180</v>
      </c>
      <c r="X14" s="209">
        <f t="shared" ref="X14" si="28">+Y14+Z14</f>
        <v>0</v>
      </c>
      <c r="Y14" s="203">
        <v>0</v>
      </c>
      <c r="Z14" s="201">
        <v>0</v>
      </c>
      <c r="AA14" s="208">
        <f t="shared" si="10"/>
        <v>58000</v>
      </c>
      <c r="AB14" s="209">
        <f t="shared" ref="AB14" si="29">AA14*koef</f>
        <v>34800</v>
      </c>
      <c r="AC14" s="203">
        <v>2000</v>
      </c>
      <c r="AD14" s="93">
        <f t="shared" si="18"/>
        <v>6.3</v>
      </c>
      <c r="AE14" s="210">
        <f t="shared" si="1"/>
        <v>1031.8336233325049</v>
      </c>
      <c r="AF14" s="211">
        <f t="shared" si="19"/>
        <v>6500.5518269947806</v>
      </c>
      <c r="AG14" s="212">
        <f t="shared" si="2"/>
        <v>6.3</v>
      </c>
      <c r="AH14" s="212">
        <f t="shared" si="3"/>
        <v>166.93376068376071</v>
      </c>
      <c r="AI14" s="213">
        <f t="shared" si="20"/>
        <v>1051.6826923076924</v>
      </c>
      <c r="AJ14" s="214">
        <f t="shared" si="4"/>
        <v>0</v>
      </c>
      <c r="AK14" s="191">
        <f t="shared" si="5"/>
        <v>1831.5018315018315</v>
      </c>
      <c r="AL14" s="190">
        <f t="shared" si="11"/>
        <v>0</v>
      </c>
      <c r="AM14" s="211">
        <v>10000</v>
      </c>
      <c r="AN14" s="203">
        <v>0</v>
      </c>
      <c r="AO14" s="203">
        <f t="shared" si="21"/>
        <v>17552.234519302474</v>
      </c>
      <c r="AP14" s="211">
        <f t="shared" si="6"/>
        <v>17552.234519302474</v>
      </c>
      <c r="AQ14" s="215">
        <f t="shared" si="7"/>
        <v>6.3</v>
      </c>
      <c r="AR14" s="211">
        <f t="shared" si="12"/>
        <v>151.34850113281752</v>
      </c>
      <c r="AS14" s="216">
        <f t="shared" si="8"/>
        <v>17703.58302043529</v>
      </c>
      <c r="AT14" s="429">
        <f t="shared" si="13"/>
        <v>17700</v>
      </c>
      <c r="AU14" s="443" t="s">
        <v>62</v>
      </c>
      <c r="AV14" s="20">
        <f t="shared" si="9"/>
        <v>0</v>
      </c>
    </row>
    <row r="15" spans="1:48" s="1" customFormat="1" ht="33" customHeight="1" x14ac:dyDescent="0.2">
      <c r="A15" s="651"/>
      <c r="B15" s="544">
        <v>10</v>
      </c>
      <c r="C15" s="598"/>
      <c r="D15" s="194" t="s">
        <v>338</v>
      </c>
      <c r="E15" s="195" t="s">
        <v>339</v>
      </c>
      <c r="F15" s="196" t="s">
        <v>66</v>
      </c>
      <c r="G15" s="197" t="s">
        <v>197</v>
      </c>
      <c r="H15" s="198">
        <v>44738625</v>
      </c>
      <c r="I15" s="198" t="s">
        <v>340</v>
      </c>
      <c r="J15" s="198" t="s">
        <v>241</v>
      </c>
      <c r="K15" s="198" t="s">
        <v>242</v>
      </c>
      <c r="L15" s="240">
        <v>10000</v>
      </c>
      <c r="M15" s="199">
        <v>43000</v>
      </c>
      <c r="N15" s="561" t="s">
        <v>705</v>
      </c>
      <c r="O15" s="200">
        <f t="shared" si="14"/>
        <v>24</v>
      </c>
      <c r="P15" s="201">
        <f t="shared" ref="P15:P25" si="30">+Q15+R15+S15</f>
        <v>0</v>
      </c>
      <c r="Q15" s="202">
        <v>0</v>
      </c>
      <c r="R15" s="203">
        <v>0</v>
      </c>
      <c r="S15" s="204">
        <v>0</v>
      </c>
      <c r="T15" s="205">
        <f t="shared" ref="T15:T25" si="31">+U15+V15+W15</f>
        <v>24</v>
      </c>
      <c r="U15" s="202">
        <v>0</v>
      </c>
      <c r="V15" s="203">
        <v>0</v>
      </c>
      <c r="W15" s="204">
        <v>24</v>
      </c>
      <c r="X15" s="209">
        <f t="shared" ref="X15:X25" si="32">+Y15+Z15</f>
        <v>0</v>
      </c>
      <c r="Y15" s="203">
        <v>0</v>
      </c>
      <c r="Z15" s="201">
        <v>0</v>
      </c>
      <c r="AA15" s="208">
        <f t="shared" si="10"/>
        <v>43000</v>
      </c>
      <c r="AB15" s="209">
        <f t="shared" si="0"/>
        <v>25800</v>
      </c>
      <c r="AC15" s="203">
        <v>2400</v>
      </c>
      <c r="AD15" s="93">
        <f t="shared" si="18"/>
        <v>0</v>
      </c>
      <c r="AE15" s="210">
        <f t="shared" si="1"/>
        <v>1031.8336233325049</v>
      </c>
      <c r="AF15" s="211">
        <f t="shared" si="19"/>
        <v>0</v>
      </c>
      <c r="AG15" s="212">
        <f t="shared" si="2"/>
        <v>0</v>
      </c>
      <c r="AH15" s="212">
        <f t="shared" si="3"/>
        <v>166.93376068376071</v>
      </c>
      <c r="AI15" s="213">
        <f t="shared" si="20"/>
        <v>0</v>
      </c>
      <c r="AJ15" s="214">
        <f t="shared" si="4"/>
        <v>0</v>
      </c>
      <c r="AK15" s="191">
        <f t="shared" si="5"/>
        <v>1831.5018315018315</v>
      </c>
      <c r="AL15" s="190">
        <f t="shared" si="11"/>
        <v>0</v>
      </c>
      <c r="AM15" s="211">
        <v>10000</v>
      </c>
      <c r="AN15" s="203">
        <v>0</v>
      </c>
      <c r="AO15" s="203">
        <f t="shared" si="21"/>
        <v>10000</v>
      </c>
      <c r="AP15" s="211">
        <f t="shared" si="6"/>
        <v>10000</v>
      </c>
      <c r="AQ15" s="215">
        <f t="shared" si="7"/>
        <v>0</v>
      </c>
      <c r="AR15" s="211">
        <f t="shared" si="12"/>
        <v>0</v>
      </c>
      <c r="AS15" s="216">
        <f t="shared" si="8"/>
        <v>10000</v>
      </c>
      <c r="AT15" s="429">
        <f t="shared" si="13"/>
        <v>10000</v>
      </c>
      <c r="AU15" s="443" t="s">
        <v>66</v>
      </c>
      <c r="AV15" s="20">
        <f t="shared" si="9"/>
        <v>0</v>
      </c>
    </row>
    <row r="16" spans="1:48" s="1" customFormat="1" ht="33" customHeight="1" x14ac:dyDescent="0.2">
      <c r="A16" s="651"/>
      <c r="B16" s="544">
        <v>11</v>
      </c>
      <c r="C16" s="598"/>
      <c r="D16" s="194" t="s">
        <v>341</v>
      </c>
      <c r="E16" s="195" t="s">
        <v>342</v>
      </c>
      <c r="F16" s="196" t="s">
        <v>100</v>
      </c>
      <c r="G16" s="197" t="s">
        <v>197</v>
      </c>
      <c r="H16" s="198">
        <v>26593467</v>
      </c>
      <c r="I16" s="198" t="s">
        <v>343</v>
      </c>
      <c r="J16" s="198" t="s">
        <v>241</v>
      </c>
      <c r="K16" s="198" t="s">
        <v>242</v>
      </c>
      <c r="L16" s="240">
        <v>12000</v>
      </c>
      <c r="M16" s="199">
        <v>24000</v>
      </c>
      <c r="N16" s="561" t="s">
        <v>706</v>
      </c>
      <c r="O16" s="200">
        <f t="shared" si="14"/>
        <v>176</v>
      </c>
      <c r="P16" s="201">
        <f t="shared" si="30"/>
        <v>0</v>
      </c>
      <c r="Q16" s="202">
        <v>0</v>
      </c>
      <c r="R16" s="203">
        <v>0</v>
      </c>
      <c r="S16" s="204">
        <v>0</v>
      </c>
      <c r="T16" s="205">
        <f t="shared" si="31"/>
        <v>176</v>
      </c>
      <c r="U16" s="202">
        <v>0</v>
      </c>
      <c r="V16" s="203">
        <v>1</v>
      </c>
      <c r="W16" s="204">
        <v>175</v>
      </c>
      <c r="X16" s="209">
        <f t="shared" si="32"/>
        <v>0</v>
      </c>
      <c r="Y16" s="203">
        <v>0</v>
      </c>
      <c r="Z16" s="201">
        <v>0</v>
      </c>
      <c r="AA16" s="208">
        <f t="shared" si="10"/>
        <v>24000</v>
      </c>
      <c r="AB16" s="209">
        <f t="shared" si="0"/>
        <v>14400</v>
      </c>
      <c r="AC16" s="203">
        <v>2000</v>
      </c>
      <c r="AD16" s="93">
        <f t="shared" si="18"/>
        <v>0.3</v>
      </c>
      <c r="AE16" s="210">
        <f t="shared" si="1"/>
        <v>1031.8336233325049</v>
      </c>
      <c r="AF16" s="211">
        <f t="shared" si="19"/>
        <v>309.55008699975144</v>
      </c>
      <c r="AG16" s="212">
        <f t="shared" si="2"/>
        <v>0.3</v>
      </c>
      <c r="AH16" s="212">
        <f t="shared" si="3"/>
        <v>166.93376068376071</v>
      </c>
      <c r="AI16" s="213">
        <f t="shared" si="20"/>
        <v>50.080128205128212</v>
      </c>
      <c r="AJ16" s="214">
        <f t="shared" si="4"/>
        <v>0</v>
      </c>
      <c r="AK16" s="191">
        <f t="shared" si="5"/>
        <v>1831.5018315018315</v>
      </c>
      <c r="AL16" s="190">
        <f t="shared" si="11"/>
        <v>0</v>
      </c>
      <c r="AM16" s="211">
        <v>10000</v>
      </c>
      <c r="AN16" s="203">
        <v>0</v>
      </c>
      <c r="AO16" s="203">
        <f t="shared" si="21"/>
        <v>10359.630215204879</v>
      </c>
      <c r="AP16" s="211">
        <f t="shared" si="6"/>
        <v>10359.630215204879</v>
      </c>
      <c r="AQ16" s="215">
        <f t="shared" si="7"/>
        <v>0.3</v>
      </c>
      <c r="AR16" s="211">
        <f t="shared" si="12"/>
        <v>7.2070714825151194</v>
      </c>
      <c r="AS16" s="216">
        <f t="shared" si="8"/>
        <v>10366.837286687394</v>
      </c>
      <c r="AT16" s="429">
        <f t="shared" si="13"/>
        <v>10400</v>
      </c>
      <c r="AU16" s="443" t="s">
        <v>100</v>
      </c>
      <c r="AV16" s="20">
        <f t="shared" si="9"/>
        <v>0</v>
      </c>
    </row>
    <row r="17" spans="1:48" s="1" customFormat="1" ht="33" customHeight="1" x14ac:dyDescent="0.2">
      <c r="A17" s="651"/>
      <c r="B17" s="544">
        <v>12</v>
      </c>
      <c r="C17" s="598"/>
      <c r="D17" s="194" t="s">
        <v>344</v>
      </c>
      <c r="E17" s="195" t="s">
        <v>345</v>
      </c>
      <c r="F17" s="196" t="s">
        <v>108</v>
      </c>
      <c r="G17" s="197" t="s">
        <v>197</v>
      </c>
      <c r="H17" s="198">
        <v>13643444</v>
      </c>
      <c r="I17" s="198" t="s">
        <v>211</v>
      </c>
      <c r="J17" s="198" t="s">
        <v>212</v>
      </c>
      <c r="K17" s="198" t="s">
        <v>213</v>
      </c>
      <c r="L17" s="240">
        <v>105000</v>
      </c>
      <c r="M17" s="199">
        <v>515000</v>
      </c>
      <c r="N17" s="561" t="s">
        <v>707</v>
      </c>
      <c r="O17" s="200">
        <f t="shared" si="14"/>
        <v>200</v>
      </c>
      <c r="P17" s="201">
        <f t="shared" si="30"/>
        <v>35</v>
      </c>
      <c r="Q17" s="202">
        <v>3</v>
      </c>
      <c r="R17" s="203">
        <v>28</v>
      </c>
      <c r="S17" s="204">
        <v>4</v>
      </c>
      <c r="T17" s="205">
        <f t="shared" si="31"/>
        <v>165</v>
      </c>
      <c r="U17" s="202">
        <v>5</v>
      </c>
      <c r="V17" s="203">
        <v>63</v>
      </c>
      <c r="W17" s="204">
        <v>97</v>
      </c>
      <c r="X17" s="209">
        <v>5</v>
      </c>
      <c r="Y17" s="203">
        <v>0</v>
      </c>
      <c r="Z17" s="201"/>
      <c r="AA17" s="208">
        <f t="shared" si="10"/>
        <v>515000</v>
      </c>
      <c r="AB17" s="209">
        <f t="shared" si="0"/>
        <v>309000</v>
      </c>
      <c r="AC17" s="203">
        <v>123000</v>
      </c>
      <c r="AD17" s="93">
        <f t="shared" si="18"/>
        <v>48.9</v>
      </c>
      <c r="AE17" s="210">
        <f t="shared" si="1"/>
        <v>1031.8336233325049</v>
      </c>
      <c r="AF17" s="211">
        <f t="shared" si="19"/>
        <v>50456.664180959488</v>
      </c>
      <c r="AG17" s="212">
        <f t="shared" si="2"/>
        <v>46.9</v>
      </c>
      <c r="AH17" s="212">
        <f t="shared" si="3"/>
        <v>166.93376068376071</v>
      </c>
      <c r="AI17" s="213">
        <f t="shared" si="20"/>
        <v>7829.1933760683769</v>
      </c>
      <c r="AJ17" s="214">
        <f t="shared" si="4"/>
        <v>0</v>
      </c>
      <c r="AK17" s="191">
        <f t="shared" si="5"/>
        <v>1831.5018315018315</v>
      </c>
      <c r="AL17" s="190">
        <f t="shared" si="11"/>
        <v>0</v>
      </c>
      <c r="AM17" s="211">
        <v>10000</v>
      </c>
      <c r="AN17" s="203">
        <v>0</v>
      </c>
      <c r="AO17" s="203">
        <f t="shared" si="21"/>
        <v>68285.857557027863</v>
      </c>
      <c r="AP17" s="211">
        <f t="shared" si="6"/>
        <v>68285.857557027863</v>
      </c>
      <c r="AQ17" s="215">
        <f t="shared" si="7"/>
        <v>48.9</v>
      </c>
      <c r="AR17" s="211">
        <f t="shared" si="12"/>
        <v>1174.7526516499645</v>
      </c>
      <c r="AS17" s="216">
        <f t="shared" si="8"/>
        <v>69460.610208677826</v>
      </c>
      <c r="AT17" s="429">
        <f t="shared" si="13"/>
        <v>69500</v>
      </c>
      <c r="AU17" s="443" t="s">
        <v>108</v>
      </c>
      <c r="AV17" s="20">
        <f t="shared" si="9"/>
        <v>0</v>
      </c>
    </row>
    <row r="18" spans="1:48" s="1" customFormat="1" ht="33" customHeight="1" x14ac:dyDescent="0.2">
      <c r="A18" s="651"/>
      <c r="B18" s="544">
        <v>13</v>
      </c>
      <c r="C18" s="598"/>
      <c r="D18" s="194" t="s">
        <v>346</v>
      </c>
      <c r="E18" s="195" t="s">
        <v>347</v>
      </c>
      <c r="F18" s="196" t="s">
        <v>77</v>
      </c>
      <c r="G18" s="197" t="s">
        <v>197</v>
      </c>
      <c r="H18" s="198">
        <v>26582767</v>
      </c>
      <c r="I18" s="198" t="s">
        <v>348</v>
      </c>
      <c r="J18" s="198" t="s">
        <v>241</v>
      </c>
      <c r="K18" s="198" t="s">
        <v>242</v>
      </c>
      <c r="L18" s="240">
        <v>21000</v>
      </c>
      <c r="M18" s="199">
        <v>142000</v>
      </c>
      <c r="N18" s="561" t="s">
        <v>708</v>
      </c>
      <c r="O18" s="200">
        <f t="shared" si="14"/>
        <v>28</v>
      </c>
      <c r="P18" s="201">
        <f t="shared" si="30"/>
        <v>5</v>
      </c>
      <c r="Q18" s="202">
        <v>0</v>
      </c>
      <c r="R18" s="203">
        <v>4</v>
      </c>
      <c r="S18" s="204">
        <v>1</v>
      </c>
      <c r="T18" s="205">
        <f t="shared" si="31"/>
        <v>23</v>
      </c>
      <c r="U18" s="202">
        <v>1</v>
      </c>
      <c r="V18" s="203">
        <v>11</v>
      </c>
      <c r="W18" s="204">
        <v>11</v>
      </c>
      <c r="X18" s="209">
        <f t="shared" si="32"/>
        <v>2</v>
      </c>
      <c r="Y18" s="203">
        <v>2</v>
      </c>
      <c r="Z18" s="201">
        <v>0</v>
      </c>
      <c r="AA18" s="208">
        <f t="shared" si="10"/>
        <v>142000</v>
      </c>
      <c r="AB18" s="209">
        <f t="shared" si="0"/>
        <v>85200</v>
      </c>
      <c r="AC18" s="203">
        <v>5000</v>
      </c>
      <c r="AD18" s="93">
        <f t="shared" si="18"/>
        <v>7.8</v>
      </c>
      <c r="AE18" s="210">
        <f t="shared" si="1"/>
        <v>1031.8336233325049</v>
      </c>
      <c r="AF18" s="211">
        <f t="shared" si="19"/>
        <v>8048.3022619935382</v>
      </c>
      <c r="AG18" s="212">
        <f t="shared" si="2"/>
        <v>7.3</v>
      </c>
      <c r="AH18" s="212">
        <f t="shared" si="3"/>
        <v>166.93376068376071</v>
      </c>
      <c r="AI18" s="213">
        <f t="shared" si="20"/>
        <v>1218.6164529914531</v>
      </c>
      <c r="AJ18" s="214">
        <f t="shared" si="4"/>
        <v>2</v>
      </c>
      <c r="AK18" s="191">
        <f t="shared" si="5"/>
        <v>1831.5018315018315</v>
      </c>
      <c r="AL18" s="190">
        <f t="shared" si="11"/>
        <v>3663.003663003663</v>
      </c>
      <c r="AM18" s="211">
        <v>10000</v>
      </c>
      <c r="AN18" s="203">
        <v>0</v>
      </c>
      <c r="AO18" s="203">
        <f t="shared" si="21"/>
        <v>22929.922377988652</v>
      </c>
      <c r="AP18" s="211">
        <f t="shared" si="6"/>
        <v>22929.922377988652</v>
      </c>
      <c r="AQ18" s="215">
        <f t="shared" si="7"/>
        <v>7.8</v>
      </c>
      <c r="AR18" s="211">
        <f t="shared" si="12"/>
        <v>187.38385854539311</v>
      </c>
      <c r="AS18" s="216">
        <f t="shared" si="8"/>
        <v>23117.306236534045</v>
      </c>
      <c r="AT18" s="429">
        <f t="shared" si="13"/>
        <v>23100</v>
      </c>
      <c r="AU18" s="443" t="s">
        <v>77</v>
      </c>
      <c r="AV18" s="20">
        <f t="shared" si="9"/>
        <v>0</v>
      </c>
    </row>
    <row r="19" spans="1:48" s="1" customFormat="1" ht="44.25" customHeight="1" x14ac:dyDescent="0.2">
      <c r="A19" s="651"/>
      <c r="B19" s="544">
        <v>14</v>
      </c>
      <c r="C19" s="598"/>
      <c r="D19" s="194" t="s">
        <v>349</v>
      </c>
      <c r="E19" s="195" t="s">
        <v>350</v>
      </c>
      <c r="F19" s="196" t="s">
        <v>49</v>
      </c>
      <c r="G19" s="197" t="s">
        <v>197</v>
      </c>
      <c r="H19" s="198">
        <v>47810165</v>
      </c>
      <c r="I19" s="198" t="s">
        <v>351</v>
      </c>
      <c r="J19" s="198" t="s">
        <v>241</v>
      </c>
      <c r="K19" s="198" t="s">
        <v>242</v>
      </c>
      <c r="L19" s="240">
        <v>31000</v>
      </c>
      <c r="M19" s="199">
        <v>106000</v>
      </c>
      <c r="N19" s="561" t="s">
        <v>709</v>
      </c>
      <c r="O19" s="200">
        <f t="shared" si="14"/>
        <v>75</v>
      </c>
      <c r="P19" s="201">
        <f t="shared" si="30"/>
        <v>42</v>
      </c>
      <c r="Q19" s="202">
        <v>0</v>
      </c>
      <c r="R19" s="203">
        <v>1</v>
      </c>
      <c r="S19" s="204">
        <v>41</v>
      </c>
      <c r="T19" s="205">
        <f t="shared" si="31"/>
        <v>33</v>
      </c>
      <c r="U19" s="202">
        <v>0</v>
      </c>
      <c r="V19" s="203">
        <v>0</v>
      </c>
      <c r="W19" s="204">
        <v>33</v>
      </c>
      <c r="X19" s="209">
        <v>1</v>
      </c>
      <c r="Y19" s="203">
        <v>0</v>
      </c>
      <c r="Z19" s="201">
        <v>0</v>
      </c>
      <c r="AA19" s="208">
        <f t="shared" si="10"/>
        <v>106000</v>
      </c>
      <c r="AB19" s="209">
        <f t="shared" si="0"/>
        <v>63600</v>
      </c>
      <c r="AC19" s="203">
        <v>47000</v>
      </c>
      <c r="AD19" s="93">
        <f t="shared" si="18"/>
        <v>21.5</v>
      </c>
      <c r="AE19" s="210">
        <f t="shared" si="1"/>
        <v>1031.8336233325049</v>
      </c>
      <c r="AF19" s="211">
        <f t="shared" si="19"/>
        <v>22184.422901648853</v>
      </c>
      <c r="AG19" s="212">
        <f t="shared" si="2"/>
        <v>1</v>
      </c>
      <c r="AH19" s="212">
        <f t="shared" si="3"/>
        <v>166.93376068376071</v>
      </c>
      <c r="AI19" s="213">
        <f t="shared" si="20"/>
        <v>166.93376068376071</v>
      </c>
      <c r="AJ19" s="214">
        <f t="shared" si="4"/>
        <v>0</v>
      </c>
      <c r="AK19" s="191">
        <f t="shared" si="5"/>
        <v>1831.5018315018315</v>
      </c>
      <c r="AL19" s="190">
        <f t="shared" si="11"/>
        <v>0</v>
      </c>
      <c r="AM19" s="211">
        <v>10000</v>
      </c>
      <c r="AN19" s="203">
        <v>0</v>
      </c>
      <c r="AO19" s="203">
        <f t="shared" si="21"/>
        <v>32351.356662332615</v>
      </c>
      <c r="AP19" s="211">
        <f t="shared" si="6"/>
        <v>32351.356662332615</v>
      </c>
      <c r="AQ19" s="215">
        <f t="shared" si="7"/>
        <v>21.5</v>
      </c>
      <c r="AR19" s="211">
        <f t="shared" si="12"/>
        <v>516.50678958025026</v>
      </c>
      <c r="AS19" s="216">
        <f t="shared" si="8"/>
        <v>32867.863451912868</v>
      </c>
      <c r="AT19" s="429">
        <f t="shared" si="13"/>
        <v>32900</v>
      </c>
      <c r="AU19" s="443" t="s">
        <v>49</v>
      </c>
      <c r="AV19" s="20">
        <f t="shared" si="9"/>
        <v>0</v>
      </c>
    </row>
    <row r="20" spans="1:48" s="1" customFormat="1" ht="33" customHeight="1" x14ac:dyDescent="0.2">
      <c r="A20" s="651"/>
      <c r="B20" s="544">
        <v>15</v>
      </c>
      <c r="C20" s="598"/>
      <c r="D20" s="194" t="s">
        <v>352</v>
      </c>
      <c r="E20" s="195" t="s">
        <v>353</v>
      </c>
      <c r="F20" s="196" t="s">
        <v>79</v>
      </c>
      <c r="G20" s="197" t="s">
        <v>197</v>
      </c>
      <c r="H20" s="198">
        <v>69987076</v>
      </c>
      <c r="I20" s="198" t="s">
        <v>354</v>
      </c>
      <c r="J20" s="198" t="s">
        <v>241</v>
      </c>
      <c r="K20" s="198" t="s">
        <v>242</v>
      </c>
      <c r="L20" s="240">
        <v>45000</v>
      </c>
      <c r="M20" s="199">
        <v>230000</v>
      </c>
      <c r="N20" s="561" t="s">
        <v>710</v>
      </c>
      <c r="O20" s="200">
        <f t="shared" si="14"/>
        <v>75</v>
      </c>
      <c r="P20" s="201">
        <f t="shared" si="30"/>
        <v>10</v>
      </c>
      <c r="Q20" s="202">
        <v>0</v>
      </c>
      <c r="R20" s="203">
        <v>9</v>
      </c>
      <c r="S20" s="204">
        <v>1</v>
      </c>
      <c r="T20" s="205">
        <f t="shared" si="31"/>
        <v>65</v>
      </c>
      <c r="U20" s="202">
        <v>0</v>
      </c>
      <c r="V20" s="203">
        <v>41</v>
      </c>
      <c r="W20" s="204">
        <v>24</v>
      </c>
      <c r="X20" s="209">
        <f t="shared" si="32"/>
        <v>2</v>
      </c>
      <c r="Y20" s="203">
        <v>2</v>
      </c>
      <c r="Z20" s="201">
        <v>0</v>
      </c>
      <c r="AA20" s="208">
        <f t="shared" si="10"/>
        <v>230000</v>
      </c>
      <c r="AB20" s="209">
        <f t="shared" si="0"/>
        <v>138000</v>
      </c>
      <c r="AC20" s="203">
        <v>29000</v>
      </c>
      <c r="AD20" s="93">
        <f t="shared" si="18"/>
        <v>21.799999999999997</v>
      </c>
      <c r="AE20" s="210">
        <f t="shared" si="1"/>
        <v>1031.8336233325049</v>
      </c>
      <c r="AF20" s="211">
        <f t="shared" si="19"/>
        <v>22493.972988648602</v>
      </c>
      <c r="AG20" s="212">
        <f t="shared" si="2"/>
        <v>21.299999999999997</v>
      </c>
      <c r="AH20" s="212">
        <f t="shared" si="3"/>
        <v>166.93376068376071</v>
      </c>
      <c r="AI20" s="213">
        <f t="shared" si="20"/>
        <v>3555.6891025641025</v>
      </c>
      <c r="AJ20" s="214">
        <f t="shared" si="4"/>
        <v>2</v>
      </c>
      <c r="AK20" s="191">
        <f t="shared" si="5"/>
        <v>1831.5018315018315</v>
      </c>
      <c r="AL20" s="190">
        <f t="shared" si="11"/>
        <v>3663.003663003663</v>
      </c>
      <c r="AM20" s="211">
        <v>10000</v>
      </c>
      <c r="AN20" s="203">
        <v>0</v>
      </c>
      <c r="AO20" s="203">
        <f t="shared" si="21"/>
        <v>39712.665754216367</v>
      </c>
      <c r="AP20" s="211">
        <f t="shared" si="6"/>
        <v>39712.665754216367</v>
      </c>
      <c r="AQ20" s="215">
        <f t="shared" si="7"/>
        <v>21.799999999999997</v>
      </c>
      <c r="AR20" s="211">
        <f t="shared" si="12"/>
        <v>523.71386106276532</v>
      </c>
      <c r="AS20" s="216">
        <f t="shared" si="8"/>
        <v>40236.379615279133</v>
      </c>
      <c r="AT20" s="429">
        <f t="shared" si="13"/>
        <v>40200</v>
      </c>
      <c r="AU20" s="443" t="s">
        <v>79</v>
      </c>
      <c r="AV20" s="20">
        <f t="shared" si="9"/>
        <v>0</v>
      </c>
    </row>
    <row r="21" spans="1:48" s="1" customFormat="1" ht="33" customHeight="1" x14ac:dyDescent="0.2">
      <c r="A21" s="651"/>
      <c r="B21" s="544">
        <v>16</v>
      </c>
      <c r="C21" s="598"/>
      <c r="D21" s="194" t="s">
        <v>355</v>
      </c>
      <c r="E21" s="195" t="s">
        <v>356</v>
      </c>
      <c r="F21" s="196" t="s">
        <v>245</v>
      </c>
      <c r="G21" s="197" t="s">
        <v>197</v>
      </c>
      <c r="H21" s="198">
        <v>26578981</v>
      </c>
      <c r="I21" s="198" t="s">
        <v>246</v>
      </c>
      <c r="J21" s="198" t="s">
        <v>241</v>
      </c>
      <c r="K21" s="198" t="s">
        <v>242</v>
      </c>
      <c r="L21" s="240">
        <v>36000</v>
      </c>
      <c r="M21" s="199">
        <v>176000</v>
      </c>
      <c r="N21" s="561" t="s">
        <v>711</v>
      </c>
      <c r="O21" s="200">
        <f t="shared" si="14"/>
        <v>33</v>
      </c>
      <c r="P21" s="201">
        <f t="shared" si="30"/>
        <v>31</v>
      </c>
      <c r="Q21" s="202">
        <v>0</v>
      </c>
      <c r="R21" s="203">
        <v>16</v>
      </c>
      <c r="S21" s="204">
        <v>15</v>
      </c>
      <c r="T21" s="205">
        <f t="shared" si="31"/>
        <v>2</v>
      </c>
      <c r="U21" s="202">
        <v>1</v>
      </c>
      <c r="V21" s="203">
        <v>1</v>
      </c>
      <c r="W21" s="204">
        <v>0</v>
      </c>
      <c r="X21" s="209">
        <f t="shared" si="32"/>
        <v>1</v>
      </c>
      <c r="Y21" s="203">
        <v>1</v>
      </c>
      <c r="Z21" s="201">
        <v>0</v>
      </c>
      <c r="AA21" s="208">
        <f t="shared" si="10"/>
        <v>176000</v>
      </c>
      <c r="AB21" s="209">
        <f t="shared" si="0"/>
        <v>105600</v>
      </c>
      <c r="AC21" s="203">
        <v>72000</v>
      </c>
      <c r="AD21" s="93">
        <f t="shared" si="18"/>
        <v>23.8</v>
      </c>
      <c r="AE21" s="210">
        <f t="shared" si="1"/>
        <v>1031.8336233325049</v>
      </c>
      <c r="AF21" s="211">
        <f t="shared" si="19"/>
        <v>24557.640235313618</v>
      </c>
      <c r="AG21" s="212">
        <f t="shared" si="2"/>
        <v>16.3</v>
      </c>
      <c r="AH21" s="212">
        <f t="shared" si="3"/>
        <v>166.93376068376071</v>
      </c>
      <c r="AI21" s="213">
        <f t="shared" si="20"/>
        <v>2721.0202991452998</v>
      </c>
      <c r="AJ21" s="214">
        <f t="shared" si="4"/>
        <v>1</v>
      </c>
      <c r="AK21" s="191">
        <f t="shared" si="5"/>
        <v>1831.5018315018315</v>
      </c>
      <c r="AL21" s="190">
        <f t="shared" si="11"/>
        <v>1831.5018315018315</v>
      </c>
      <c r="AM21" s="211">
        <v>10000</v>
      </c>
      <c r="AN21" s="203">
        <v>0</v>
      </c>
      <c r="AO21" s="203">
        <f t="shared" si="21"/>
        <v>39110.16236596075</v>
      </c>
      <c r="AP21" s="211">
        <f t="shared" si="6"/>
        <v>39110.16236596075</v>
      </c>
      <c r="AQ21" s="215">
        <f t="shared" si="7"/>
        <v>23.8</v>
      </c>
      <c r="AR21" s="211">
        <f t="shared" si="12"/>
        <v>571.76100427953281</v>
      </c>
      <c r="AS21" s="216">
        <f t="shared" si="8"/>
        <v>39681.923370240285</v>
      </c>
      <c r="AT21" s="429">
        <f t="shared" si="13"/>
        <v>39700</v>
      </c>
      <c r="AU21" s="443" t="s">
        <v>245</v>
      </c>
      <c r="AV21" s="20">
        <f t="shared" si="9"/>
        <v>0</v>
      </c>
    </row>
    <row r="22" spans="1:48" s="1" customFormat="1" ht="33" customHeight="1" x14ac:dyDescent="0.2">
      <c r="A22" s="651"/>
      <c r="B22" s="544">
        <v>17</v>
      </c>
      <c r="C22" s="598"/>
      <c r="D22" s="194" t="s">
        <v>357</v>
      </c>
      <c r="E22" s="195" t="s">
        <v>358</v>
      </c>
      <c r="F22" s="196" t="s">
        <v>60</v>
      </c>
      <c r="G22" s="197" t="s">
        <v>197</v>
      </c>
      <c r="H22" s="198">
        <v>68941960</v>
      </c>
      <c r="I22" s="198" t="s">
        <v>359</v>
      </c>
      <c r="J22" s="198" t="s">
        <v>241</v>
      </c>
      <c r="K22" s="198" t="s">
        <v>242</v>
      </c>
      <c r="L22" s="240">
        <v>15000</v>
      </c>
      <c r="M22" s="199">
        <v>80000</v>
      </c>
      <c r="N22" s="561" t="s">
        <v>712</v>
      </c>
      <c r="O22" s="200">
        <f t="shared" si="14"/>
        <v>82</v>
      </c>
      <c r="P22" s="201">
        <f t="shared" si="30"/>
        <v>5</v>
      </c>
      <c r="Q22" s="202">
        <v>0</v>
      </c>
      <c r="R22" s="203">
        <v>0</v>
      </c>
      <c r="S22" s="204">
        <v>5</v>
      </c>
      <c r="T22" s="205">
        <f t="shared" si="31"/>
        <v>77</v>
      </c>
      <c r="U22" s="202">
        <v>0</v>
      </c>
      <c r="V22" s="203">
        <v>1</v>
      </c>
      <c r="W22" s="204">
        <v>76</v>
      </c>
      <c r="X22" s="209">
        <f t="shared" si="32"/>
        <v>0</v>
      </c>
      <c r="Y22" s="203">
        <v>0</v>
      </c>
      <c r="Z22" s="201">
        <v>0</v>
      </c>
      <c r="AA22" s="208">
        <f t="shared" si="10"/>
        <v>80000</v>
      </c>
      <c r="AB22" s="209">
        <f t="shared" si="0"/>
        <v>48000</v>
      </c>
      <c r="AC22" s="203">
        <v>7300</v>
      </c>
      <c r="AD22" s="93">
        <f t="shared" si="18"/>
        <v>2.8</v>
      </c>
      <c r="AE22" s="210">
        <f t="shared" si="1"/>
        <v>1031.8336233325049</v>
      </c>
      <c r="AF22" s="211">
        <f t="shared" si="19"/>
        <v>2889.1341453310133</v>
      </c>
      <c r="AG22" s="212">
        <f t="shared" si="2"/>
        <v>0.3</v>
      </c>
      <c r="AH22" s="212">
        <f t="shared" si="3"/>
        <v>166.93376068376071</v>
      </c>
      <c r="AI22" s="213">
        <f t="shared" si="20"/>
        <v>50.080128205128212</v>
      </c>
      <c r="AJ22" s="214">
        <f t="shared" si="4"/>
        <v>0</v>
      </c>
      <c r="AK22" s="191">
        <f t="shared" si="5"/>
        <v>1831.5018315018315</v>
      </c>
      <c r="AL22" s="190">
        <f t="shared" si="11"/>
        <v>0</v>
      </c>
      <c r="AM22" s="211">
        <v>10000</v>
      </c>
      <c r="AN22" s="203">
        <v>0</v>
      </c>
      <c r="AO22" s="203">
        <f t="shared" si="21"/>
        <v>12939.214273536141</v>
      </c>
      <c r="AP22" s="211">
        <f t="shared" si="6"/>
        <v>12939.214273536141</v>
      </c>
      <c r="AQ22" s="215">
        <f t="shared" si="7"/>
        <v>2.8</v>
      </c>
      <c r="AR22" s="211">
        <f t="shared" si="12"/>
        <v>67.266000503474444</v>
      </c>
      <c r="AS22" s="216">
        <f t="shared" si="8"/>
        <v>13006.480274039615</v>
      </c>
      <c r="AT22" s="429">
        <f t="shared" si="13"/>
        <v>13000</v>
      </c>
      <c r="AU22" s="443" t="s">
        <v>60</v>
      </c>
      <c r="AV22" s="20">
        <f t="shared" si="9"/>
        <v>0</v>
      </c>
    </row>
    <row r="23" spans="1:48" s="1" customFormat="1" ht="33" customHeight="1" x14ac:dyDescent="0.2">
      <c r="A23" s="651"/>
      <c r="B23" s="544">
        <v>18</v>
      </c>
      <c r="C23" s="598"/>
      <c r="D23" s="194" t="s">
        <v>360</v>
      </c>
      <c r="E23" s="195" t="s">
        <v>361</v>
      </c>
      <c r="F23" s="196" t="s">
        <v>65</v>
      </c>
      <c r="G23" s="197" t="s">
        <v>197</v>
      </c>
      <c r="H23" s="198">
        <v>22725920</v>
      </c>
      <c r="I23" s="198" t="s">
        <v>359</v>
      </c>
      <c r="J23" s="198" t="s">
        <v>241</v>
      </c>
      <c r="K23" s="198" t="s">
        <v>242</v>
      </c>
      <c r="L23" s="240">
        <v>50000</v>
      </c>
      <c r="M23" s="199">
        <v>500000</v>
      </c>
      <c r="N23" s="561" t="s">
        <v>713</v>
      </c>
      <c r="O23" s="200">
        <f t="shared" si="14"/>
        <v>518</v>
      </c>
      <c r="P23" s="201">
        <f t="shared" si="30"/>
        <v>54</v>
      </c>
      <c r="Q23" s="202">
        <v>0</v>
      </c>
      <c r="R23" s="203">
        <v>1</v>
      </c>
      <c r="S23" s="204">
        <v>53</v>
      </c>
      <c r="T23" s="205">
        <f t="shared" si="31"/>
        <v>464</v>
      </c>
      <c r="U23" s="202">
        <v>0</v>
      </c>
      <c r="V23" s="203">
        <v>34</v>
      </c>
      <c r="W23" s="204">
        <v>430</v>
      </c>
      <c r="X23" s="209">
        <f t="shared" si="32"/>
        <v>1</v>
      </c>
      <c r="Y23" s="203">
        <v>1</v>
      </c>
      <c r="Z23" s="201">
        <v>0</v>
      </c>
      <c r="AA23" s="208">
        <f t="shared" si="10"/>
        <v>500000</v>
      </c>
      <c r="AB23" s="209">
        <f t="shared" si="0"/>
        <v>300000</v>
      </c>
      <c r="AC23" s="203">
        <v>253500</v>
      </c>
      <c r="AD23" s="93">
        <f t="shared" si="18"/>
        <v>37.700000000000003</v>
      </c>
      <c r="AE23" s="210">
        <f t="shared" si="1"/>
        <v>1031.8336233325049</v>
      </c>
      <c r="AF23" s="211">
        <f t="shared" si="19"/>
        <v>38900.127599635438</v>
      </c>
      <c r="AG23" s="212">
        <f t="shared" si="2"/>
        <v>11.2</v>
      </c>
      <c r="AH23" s="212">
        <f t="shared" si="3"/>
        <v>166.93376068376071</v>
      </c>
      <c r="AI23" s="213">
        <f t="shared" si="20"/>
        <v>1869.6581196581199</v>
      </c>
      <c r="AJ23" s="214">
        <f t="shared" si="4"/>
        <v>1</v>
      </c>
      <c r="AK23" s="191">
        <f t="shared" si="5"/>
        <v>1831.5018315018315</v>
      </c>
      <c r="AL23" s="190">
        <f t="shared" si="11"/>
        <v>1831.5018315018315</v>
      </c>
      <c r="AM23" s="211">
        <v>10000</v>
      </c>
      <c r="AN23" s="203">
        <v>0</v>
      </c>
      <c r="AO23" s="203">
        <f t="shared" si="21"/>
        <v>52601.287550795387</v>
      </c>
      <c r="AP23" s="211">
        <f t="shared" si="6"/>
        <v>52601.287550795387</v>
      </c>
      <c r="AQ23" s="215">
        <f t="shared" si="7"/>
        <v>37.700000000000003</v>
      </c>
      <c r="AR23" s="211">
        <f t="shared" si="12"/>
        <v>905.68864963606677</v>
      </c>
      <c r="AS23" s="216">
        <f t="shared" si="8"/>
        <v>53506.976200431454</v>
      </c>
      <c r="AT23" s="429">
        <f t="shared" si="13"/>
        <v>53500</v>
      </c>
      <c r="AU23" s="443" t="s">
        <v>65</v>
      </c>
      <c r="AV23" s="20">
        <f t="shared" si="9"/>
        <v>0</v>
      </c>
    </row>
    <row r="24" spans="1:48" s="1" customFormat="1" ht="33" customHeight="1" x14ac:dyDescent="0.2">
      <c r="A24" s="651"/>
      <c r="B24" s="544">
        <v>20</v>
      </c>
      <c r="C24" s="598"/>
      <c r="D24" s="194" t="s">
        <v>368</v>
      </c>
      <c r="E24" s="195" t="s">
        <v>369</v>
      </c>
      <c r="F24" s="196" t="s">
        <v>112</v>
      </c>
      <c r="G24" s="197" t="s">
        <v>197</v>
      </c>
      <c r="H24" s="198">
        <v>44738781</v>
      </c>
      <c r="I24" s="198" t="s">
        <v>370</v>
      </c>
      <c r="J24" s="198" t="s">
        <v>241</v>
      </c>
      <c r="K24" s="198" t="s">
        <v>242</v>
      </c>
      <c r="L24" s="240">
        <v>30000</v>
      </c>
      <c r="M24" s="199">
        <v>150000</v>
      </c>
      <c r="N24" s="561" t="s">
        <v>714</v>
      </c>
      <c r="O24" s="200">
        <f t="shared" si="14"/>
        <v>163</v>
      </c>
      <c r="P24" s="201">
        <f t="shared" si="30"/>
        <v>0</v>
      </c>
      <c r="Q24" s="202">
        <v>0</v>
      </c>
      <c r="R24" s="203">
        <v>0</v>
      </c>
      <c r="S24" s="204">
        <v>0</v>
      </c>
      <c r="T24" s="205">
        <f t="shared" si="31"/>
        <v>163</v>
      </c>
      <c r="U24" s="202">
        <v>0</v>
      </c>
      <c r="V24" s="203">
        <v>41</v>
      </c>
      <c r="W24" s="204">
        <v>122</v>
      </c>
      <c r="X24" s="209">
        <f t="shared" si="32"/>
        <v>4</v>
      </c>
      <c r="Y24" s="203">
        <v>3</v>
      </c>
      <c r="Z24" s="201">
        <v>1</v>
      </c>
      <c r="AA24" s="208">
        <f t="shared" si="10"/>
        <v>150000</v>
      </c>
      <c r="AB24" s="209">
        <f t="shared" si="0"/>
        <v>90000</v>
      </c>
      <c r="AC24" s="203">
        <v>121000</v>
      </c>
      <c r="AD24" s="93">
        <f t="shared" si="18"/>
        <v>12.299999999999999</v>
      </c>
      <c r="AE24" s="210">
        <f t="shared" si="1"/>
        <v>1031.8336233325049</v>
      </c>
      <c r="AF24" s="211">
        <f t="shared" si="19"/>
        <v>12691.553566989809</v>
      </c>
      <c r="AG24" s="212">
        <f t="shared" si="2"/>
        <v>12.299999999999999</v>
      </c>
      <c r="AH24" s="212">
        <f t="shared" si="3"/>
        <v>166.93376068376071</v>
      </c>
      <c r="AI24" s="213">
        <f t="shared" si="20"/>
        <v>2053.2852564102564</v>
      </c>
      <c r="AJ24" s="214">
        <f t="shared" si="4"/>
        <v>3</v>
      </c>
      <c r="AK24" s="191">
        <f t="shared" si="5"/>
        <v>1831.5018315018315</v>
      </c>
      <c r="AL24" s="190">
        <f t="shared" si="11"/>
        <v>5494.5054945054944</v>
      </c>
      <c r="AM24" s="211">
        <v>10000</v>
      </c>
      <c r="AN24" s="203">
        <v>0</v>
      </c>
      <c r="AO24" s="203">
        <f t="shared" si="21"/>
        <v>30239.344317905561</v>
      </c>
      <c r="AP24" s="211">
        <f t="shared" si="6"/>
        <v>30239.344317905561</v>
      </c>
      <c r="AQ24" s="215">
        <f t="shared" si="7"/>
        <v>12.299999999999999</v>
      </c>
      <c r="AR24" s="211">
        <f t="shared" si="12"/>
        <v>295.48993078311992</v>
      </c>
      <c r="AS24" s="216">
        <f t="shared" si="8"/>
        <v>30534.83424868868</v>
      </c>
      <c r="AT24" s="429">
        <f t="shared" si="13"/>
        <v>30500</v>
      </c>
      <c r="AU24" s="443" t="s">
        <v>112</v>
      </c>
      <c r="AV24" s="20">
        <f t="shared" si="9"/>
        <v>0</v>
      </c>
    </row>
    <row r="25" spans="1:48" s="1" customFormat="1" ht="40.5" customHeight="1" x14ac:dyDescent="0.2">
      <c r="A25" s="651"/>
      <c r="B25" s="544">
        <v>21</v>
      </c>
      <c r="C25" s="598"/>
      <c r="D25" s="194" t="s">
        <v>371</v>
      </c>
      <c r="E25" s="195" t="s">
        <v>372</v>
      </c>
      <c r="F25" s="196" t="s">
        <v>373</v>
      </c>
      <c r="G25" s="197" t="s">
        <v>197</v>
      </c>
      <c r="H25" s="198">
        <v>22870733</v>
      </c>
      <c r="I25" s="198" t="s">
        <v>374</v>
      </c>
      <c r="J25" s="198" t="s">
        <v>241</v>
      </c>
      <c r="K25" s="198" t="s">
        <v>242</v>
      </c>
      <c r="L25" s="240">
        <v>90000</v>
      </c>
      <c r="M25" s="199">
        <v>610000</v>
      </c>
      <c r="N25" s="561" t="s">
        <v>715</v>
      </c>
      <c r="O25" s="200">
        <f t="shared" si="14"/>
        <v>64</v>
      </c>
      <c r="P25" s="201">
        <f t="shared" si="30"/>
        <v>59</v>
      </c>
      <c r="Q25" s="202">
        <v>0</v>
      </c>
      <c r="R25" s="203">
        <v>41</v>
      </c>
      <c r="S25" s="204">
        <v>18</v>
      </c>
      <c r="T25" s="205">
        <f t="shared" si="31"/>
        <v>5</v>
      </c>
      <c r="U25" s="202">
        <v>0</v>
      </c>
      <c r="V25" s="203">
        <v>1</v>
      </c>
      <c r="W25" s="204">
        <v>4</v>
      </c>
      <c r="X25" s="209">
        <f t="shared" si="32"/>
        <v>12</v>
      </c>
      <c r="Y25" s="203">
        <v>11</v>
      </c>
      <c r="Z25" s="201">
        <v>1</v>
      </c>
      <c r="AA25" s="208">
        <f t="shared" si="10"/>
        <v>610000</v>
      </c>
      <c r="AB25" s="209">
        <f t="shared" si="0"/>
        <v>366000</v>
      </c>
      <c r="AC25" s="203">
        <v>115000</v>
      </c>
      <c r="AD25" s="93">
        <f t="shared" si="18"/>
        <v>50.3</v>
      </c>
      <c r="AE25" s="210">
        <f t="shared" si="1"/>
        <v>1031.8336233325049</v>
      </c>
      <c r="AF25" s="211">
        <f t="shared" si="19"/>
        <v>51901.231253624996</v>
      </c>
      <c r="AG25" s="212">
        <f t="shared" si="2"/>
        <v>41.3</v>
      </c>
      <c r="AH25" s="212">
        <f t="shared" si="3"/>
        <v>166.93376068376071</v>
      </c>
      <c r="AI25" s="213">
        <f t="shared" si="20"/>
        <v>6894.3643162393164</v>
      </c>
      <c r="AJ25" s="214">
        <f t="shared" si="4"/>
        <v>11</v>
      </c>
      <c r="AK25" s="191">
        <f t="shared" si="5"/>
        <v>1831.5018315018315</v>
      </c>
      <c r="AL25" s="190">
        <f t="shared" si="11"/>
        <v>20146.520146520146</v>
      </c>
      <c r="AM25" s="211">
        <v>10000</v>
      </c>
      <c r="AN25" s="203">
        <v>0</v>
      </c>
      <c r="AO25" s="203">
        <f t="shared" si="21"/>
        <v>88942.115716384462</v>
      </c>
      <c r="AP25" s="211">
        <f t="shared" si="6"/>
        <v>88942.115716384462</v>
      </c>
      <c r="AQ25" s="215">
        <f t="shared" si="7"/>
        <v>50.3</v>
      </c>
      <c r="AR25" s="211">
        <f t="shared" si="12"/>
        <v>1208.3856519017017</v>
      </c>
      <c r="AS25" s="216">
        <f t="shared" si="8"/>
        <v>90150.501368286161</v>
      </c>
      <c r="AT25" s="429">
        <f t="shared" si="13"/>
        <v>90200</v>
      </c>
      <c r="AU25" s="443" t="s">
        <v>373</v>
      </c>
      <c r="AV25" s="20">
        <f t="shared" si="9"/>
        <v>0</v>
      </c>
    </row>
    <row r="26" spans="1:48" s="1" customFormat="1" ht="43.5" customHeight="1" x14ac:dyDescent="0.2">
      <c r="A26" s="651"/>
      <c r="B26" s="544">
        <v>22</v>
      </c>
      <c r="C26" s="598"/>
      <c r="D26" s="194" t="s">
        <v>375</v>
      </c>
      <c r="E26" s="195" t="s">
        <v>376</v>
      </c>
      <c r="F26" s="196" t="s">
        <v>102</v>
      </c>
      <c r="G26" s="197" t="s">
        <v>197</v>
      </c>
      <c r="H26" s="198">
        <v>69987106</v>
      </c>
      <c r="I26" s="198" t="s">
        <v>377</v>
      </c>
      <c r="J26" s="198" t="s">
        <v>241</v>
      </c>
      <c r="K26" s="198" t="s">
        <v>242</v>
      </c>
      <c r="L26" s="240">
        <v>30000</v>
      </c>
      <c r="M26" s="199">
        <v>146000</v>
      </c>
      <c r="N26" s="561" t="s">
        <v>716</v>
      </c>
      <c r="O26" s="200">
        <f t="shared" si="14"/>
        <v>117</v>
      </c>
      <c r="P26" s="201">
        <f t="shared" ref="P26" si="33">+Q26+R26+S26</f>
        <v>0</v>
      </c>
      <c r="Q26" s="202">
        <v>0</v>
      </c>
      <c r="R26" s="203">
        <v>0</v>
      </c>
      <c r="S26" s="204">
        <v>0</v>
      </c>
      <c r="T26" s="205">
        <f t="shared" ref="T26" si="34">+U26+V26+W26</f>
        <v>117</v>
      </c>
      <c r="U26" s="202">
        <v>0</v>
      </c>
      <c r="V26" s="203">
        <v>61</v>
      </c>
      <c r="W26" s="204">
        <v>56</v>
      </c>
      <c r="X26" s="209">
        <v>3</v>
      </c>
      <c r="Y26" s="203">
        <v>0</v>
      </c>
      <c r="Z26" s="201">
        <v>0</v>
      </c>
      <c r="AA26" s="208">
        <f t="shared" si="10"/>
        <v>146000</v>
      </c>
      <c r="AB26" s="209">
        <f t="shared" ref="AB26" si="35">AA26*koef</f>
        <v>87600</v>
      </c>
      <c r="AC26" s="203">
        <v>95000</v>
      </c>
      <c r="AD26" s="93">
        <f t="shared" si="18"/>
        <v>18.3</v>
      </c>
      <c r="AE26" s="210">
        <f t="shared" si="1"/>
        <v>1031.8336233325049</v>
      </c>
      <c r="AF26" s="211">
        <f t="shared" si="19"/>
        <v>18882.555306984839</v>
      </c>
      <c r="AG26" s="212">
        <f t="shared" si="2"/>
        <v>18.3</v>
      </c>
      <c r="AH26" s="212">
        <f t="shared" si="3"/>
        <v>166.93376068376071</v>
      </c>
      <c r="AI26" s="213">
        <f t="shared" si="20"/>
        <v>3054.8878205128212</v>
      </c>
      <c r="AJ26" s="214">
        <f t="shared" si="4"/>
        <v>0</v>
      </c>
      <c r="AK26" s="191">
        <f t="shared" si="5"/>
        <v>1831.5018315018315</v>
      </c>
      <c r="AL26" s="190">
        <f t="shared" si="11"/>
        <v>0</v>
      </c>
      <c r="AM26" s="211">
        <v>10000</v>
      </c>
      <c r="AN26" s="203">
        <v>0</v>
      </c>
      <c r="AO26" s="203">
        <f t="shared" si="21"/>
        <v>31937.44312749766</v>
      </c>
      <c r="AP26" s="211">
        <f t="shared" si="6"/>
        <v>31937.44312749766</v>
      </c>
      <c r="AQ26" s="215">
        <f t="shared" si="7"/>
        <v>18.3</v>
      </c>
      <c r="AR26" s="211">
        <f t="shared" si="12"/>
        <v>439.63136043342234</v>
      </c>
      <c r="AS26" s="216">
        <f t="shared" si="8"/>
        <v>32377.074487931081</v>
      </c>
      <c r="AT26" s="429">
        <f t="shared" si="13"/>
        <v>32400</v>
      </c>
      <c r="AU26" s="443" t="s">
        <v>102</v>
      </c>
      <c r="AV26" s="20">
        <f t="shared" si="9"/>
        <v>0</v>
      </c>
    </row>
    <row r="27" spans="1:48" s="1" customFormat="1" ht="33" customHeight="1" x14ac:dyDescent="0.2">
      <c r="A27" s="651"/>
      <c r="B27" s="544">
        <v>23</v>
      </c>
      <c r="C27" s="598"/>
      <c r="D27" s="194" t="s">
        <v>378</v>
      </c>
      <c r="E27" s="195" t="s">
        <v>379</v>
      </c>
      <c r="F27" s="196" t="s">
        <v>132</v>
      </c>
      <c r="G27" s="197" t="s">
        <v>197</v>
      </c>
      <c r="H27" s="198">
        <v>22721169</v>
      </c>
      <c r="I27" s="198" t="s">
        <v>380</v>
      </c>
      <c r="J27" s="198" t="s">
        <v>241</v>
      </c>
      <c r="K27" s="198" t="s">
        <v>242</v>
      </c>
      <c r="L27" s="240">
        <v>50000</v>
      </c>
      <c r="M27" s="199">
        <v>540000</v>
      </c>
      <c r="N27" s="561" t="s">
        <v>717</v>
      </c>
      <c r="O27" s="200">
        <f t="shared" si="14"/>
        <v>152</v>
      </c>
      <c r="P27" s="201">
        <f t="shared" ref="P27:P36" si="36">+Q27+R27+S27</f>
        <v>16</v>
      </c>
      <c r="Q27" s="202">
        <v>0</v>
      </c>
      <c r="R27" s="203">
        <v>2</v>
      </c>
      <c r="S27" s="204">
        <v>14</v>
      </c>
      <c r="T27" s="205">
        <f t="shared" ref="T27:T36" si="37">+U27+V27+W27</f>
        <v>136</v>
      </c>
      <c r="U27" s="202">
        <v>4</v>
      </c>
      <c r="V27" s="203">
        <v>78</v>
      </c>
      <c r="W27" s="204">
        <v>54</v>
      </c>
      <c r="X27" s="209">
        <f t="shared" ref="X27:X36" si="38">+Y27+Z27</f>
        <v>2</v>
      </c>
      <c r="Y27" s="203">
        <v>2</v>
      </c>
      <c r="Z27" s="201">
        <v>0</v>
      </c>
      <c r="AA27" s="208">
        <f t="shared" si="10"/>
        <v>540000</v>
      </c>
      <c r="AB27" s="209">
        <f t="shared" ref="AB27:AB36" si="39">AA27*koef</f>
        <v>324000</v>
      </c>
      <c r="AC27" s="203">
        <v>10000</v>
      </c>
      <c r="AD27" s="93">
        <f t="shared" si="18"/>
        <v>32.4</v>
      </c>
      <c r="AE27" s="210">
        <f t="shared" si="1"/>
        <v>1031.8336233325049</v>
      </c>
      <c r="AF27" s="211">
        <f t="shared" si="19"/>
        <v>33431.409395973154</v>
      </c>
      <c r="AG27" s="212">
        <f t="shared" si="2"/>
        <v>25.4</v>
      </c>
      <c r="AH27" s="212">
        <f t="shared" si="3"/>
        <v>166.93376068376071</v>
      </c>
      <c r="AI27" s="213">
        <f t="shared" si="20"/>
        <v>4240.1175213675215</v>
      </c>
      <c r="AJ27" s="214">
        <f t="shared" si="4"/>
        <v>2</v>
      </c>
      <c r="AK27" s="191">
        <f t="shared" si="5"/>
        <v>1831.5018315018315</v>
      </c>
      <c r="AL27" s="190">
        <f t="shared" si="11"/>
        <v>3663.003663003663</v>
      </c>
      <c r="AM27" s="211">
        <v>10000</v>
      </c>
      <c r="AN27" s="203">
        <v>0</v>
      </c>
      <c r="AO27" s="203">
        <f t="shared" si="21"/>
        <v>51334.530580344341</v>
      </c>
      <c r="AP27" s="211">
        <f t="shared" si="6"/>
        <v>51334.530580344341</v>
      </c>
      <c r="AQ27" s="215">
        <f t="shared" si="7"/>
        <v>32.4</v>
      </c>
      <c r="AR27" s="211">
        <f t="shared" si="12"/>
        <v>778.36372011163292</v>
      </c>
      <c r="AS27" s="216">
        <f t="shared" si="8"/>
        <v>52112.894300455977</v>
      </c>
      <c r="AT27" s="429">
        <f t="shared" si="13"/>
        <v>52100</v>
      </c>
      <c r="AU27" s="443" t="s">
        <v>132</v>
      </c>
      <c r="AV27" s="20">
        <f t="shared" si="9"/>
        <v>0</v>
      </c>
    </row>
    <row r="28" spans="1:48" s="1" customFormat="1" ht="33" customHeight="1" x14ac:dyDescent="0.2">
      <c r="A28" s="651"/>
      <c r="B28" s="544">
        <v>24</v>
      </c>
      <c r="C28" s="598"/>
      <c r="D28" s="194" t="s">
        <v>381</v>
      </c>
      <c r="E28" s="195" t="s">
        <v>382</v>
      </c>
      <c r="F28" s="196" t="s">
        <v>74</v>
      </c>
      <c r="G28" s="197" t="s">
        <v>197</v>
      </c>
      <c r="H28" s="198">
        <v>22687378</v>
      </c>
      <c r="I28" s="198" t="s">
        <v>255</v>
      </c>
      <c r="J28" s="198" t="s">
        <v>241</v>
      </c>
      <c r="K28" s="198" t="s">
        <v>242</v>
      </c>
      <c r="L28" s="240">
        <v>170000</v>
      </c>
      <c r="M28" s="199">
        <v>800000</v>
      </c>
      <c r="N28" s="561" t="s">
        <v>718</v>
      </c>
      <c r="O28" s="200">
        <f t="shared" si="14"/>
        <v>350</v>
      </c>
      <c r="P28" s="201">
        <f t="shared" si="36"/>
        <v>13</v>
      </c>
      <c r="Q28" s="202">
        <v>0</v>
      </c>
      <c r="R28" s="203">
        <v>13</v>
      </c>
      <c r="S28" s="204">
        <v>0</v>
      </c>
      <c r="T28" s="205">
        <f t="shared" si="37"/>
        <v>337</v>
      </c>
      <c r="U28" s="202">
        <v>0</v>
      </c>
      <c r="V28" s="203">
        <v>325</v>
      </c>
      <c r="W28" s="204">
        <v>12</v>
      </c>
      <c r="X28" s="209">
        <f t="shared" si="38"/>
        <v>4</v>
      </c>
      <c r="Y28" s="203">
        <v>4</v>
      </c>
      <c r="Z28" s="201">
        <v>0</v>
      </c>
      <c r="AA28" s="208">
        <f t="shared" si="10"/>
        <v>800000</v>
      </c>
      <c r="AB28" s="209">
        <f t="shared" si="39"/>
        <v>480000</v>
      </c>
      <c r="AC28" s="203">
        <v>90000</v>
      </c>
      <c r="AD28" s="93">
        <f t="shared" si="18"/>
        <v>110.5</v>
      </c>
      <c r="AE28" s="210">
        <f t="shared" si="1"/>
        <v>1031.8336233325049</v>
      </c>
      <c r="AF28" s="211">
        <f t="shared" si="19"/>
        <v>114017.6153782418</v>
      </c>
      <c r="AG28" s="212">
        <f t="shared" si="2"/>
        <v>110.5</v>
      </c>
      <c r="AH28" s="212">
        <f t="shared" si="3"/>
        <v>166.93376068376071</v>
      </c>
      <c r="AI28" s="213">
        <f t="shared" si="20"/>
        <v>18446.180555555558</v>
      </c>
      <c r="AJ28" s="214">
        <f t="shared" si="4"/>
        <v>4</v>
      </c>
      <c r="AK28" s="191">
        <f t="shared" si="5"/>
        <v>1831.5018315018315</v>
      </c>
      <c r="AL28" s="190">
        <f t="shared" si="11"/>
        <v>7326.0073260073259</v>
      </c>
      <c r="AM28" s="211">
        <v>10000</v>
      </c>
      <c r="AN28" s="203">
        <v>0</v>
      </c>
      <c r="AO28" s="203">
        <f t="shared" si="21"/>
        <v>149789.80325980467</v>
      </c>
      <c r="AP28" s="211">
        <f t="shared" si="6"/>
        <v>149789.80325980467</v>
      </c>
      <c r="AQ28" s="215">
        <f t="shared" si="7"/>
        <v>110.5</v>
      </c>
      <c r="AR28" s="211">
        <f t="shared" si="12"/>
        <v>2654.6046627264027</v>
      </c>
      <c r="AS28" s="216">
        <f t="shared" si="8"/>
        <v>152444.40792253107</v>
      </c>
      <c r="AT28" s="429">
        <f t="shared" si="13"/>
        <v>152400</v>
      </c>
      <c r="AU28" s="443" t="s">
        <v>74</v>
      </c>
      <c r="AV28" s="20">
        <f t="shared" si="9"/>
        <v>0</v>
      </c>
    </row>
    <row r="29" spans="1:48" s="1" customFormat="1" ht="33" customHeight="1" x14ac:dyDescent="0.2">
      <c r="A29" s="651"/>
      <c r="B29" s="544">
        <v>25</v>
      </c>
      <c r="C29" s="598"/>
      <c r="D29" s="194" t="s">
        <v>383</v>
      </c>
      <c r="E29" s="195" t="s">
        <v>384</v>
      </c>
      <c r="F29" s="196" t="s">
        <v>78</v>
      </c>
      <c r="G29" s="197" t="s">
        <v>197</v>
      </c>
      <c r="H29" s="198">
        <v>68941978</v>
      </c>
      <c r="I29" s="198" t="s">
        <v>385</v>
      </c>
      <c r="J29" s="198" t="s">
        <v>241</v>
      </c>
      <c r="K29" s="198" t="s">
        <v>242</v>
      </c>
      <c r="L29" s="240">
        <v>40000</v>
      </c>
      <c r="M29" s="199">
        <v>430000</v>
      </c>
      <c r="N29" s="561" t="s">
        <v>719</v>
      </c>
      <c r="O29" s="200">
        <f t="shared" si="14"/>
        <v>99</v>
      </c>
      <c r="P29" s="201">
        <f t="shared" si="36"/>
        <v>17</v>
      </c>
      <c r="Q29" s="202">
        <v>0</v>
      </c>
      <c r="R29" s="203">
        <v>17</v>
      </c>
      <c r="S29" s="204">
        <v>0</v>
      </c>
      <c r="T29" s="205">
        <f t="shared" si="37"/>
        <v>82</v>
      </c>
      <c r="U29" s="202">
        <v>0</v>
      </c>
      <c r="V29" s="203">
        <v>42</v>
      </c>
      <c r="W29" s="204">
        <v>40</v>
      </c>
      <c r="X29" s="209">
        <f t="shared" si="38"/>
        <v>2</v>
      </c>
      <c r="Y29" s="203">
        <v>2</v>
      </c>
      <c r="Z29" s="201">
        <v>0</v>
      </c>
      <c r="AA29" s="208">
        <f t="shared" si="10"/>
        <v>430000</v>
      </c>
      <c r="AB29" s="209">
        <f t="shared" si="39"/>
        <v>258000</v>
      </c>
      <c r="AC29" s="203">
        <v>5000</v>
      </c>
      <c r="AD29" s="93">
        <f t="shared" si="18"/>
        <v>29.6</v>
      </c>
      <c r="AE29" s="210">
        <f t="shared" si="1"/>
        <v>1031.8336233325049</v>
      </c>
      <c r="AF29" s="211">
        <f t="shared" si="19"/>
        <v>30542.275250642146</v>
      </c>
      <c r="AG29" s="212">
        <f t="shared" si="2"/>
        <v>29.6</v>
      </c>
      <c r="AH29" s="212">
        <f t="shared" si="3"/>
        <v>166.93376068376071</v>
      </c>
      <c r="AI29" s="213">
        <f t="shared" si="20"/>
        <v>4941.2393162393173</v>
      </c>
      <c r="AJ29" s="214">
        <f t="shared" si="4"/>
        <v>2</v>
      </c>
      <c r="AK29" s="191">
        <f t="shared" si="5"/>
        <v>1831.5018315018315</v>
      </c>
      <c r="AL29" s="190">
        <f t="shared" si="11"/>
        <v>3663.003663003663</v>
      </c>
      <c r="AM29" s="211">
        <v>10000</v>
      </c>
      <c r="AN29" s="203">
        <v>0</v>
      </c>
      <c r="AO29" s="203">
        <f t="shared" si="21"/>
        <v>49146.518229885129</v>
      </c>
      <c r="AP29" s="211">
        <f t="shared" si="6"/>
        <v>49146.518229885129</v>
      </c>
      <c r="AQ29" s="215">
        <f t="shared" si="7"/>
        <v>29.6</v>
      </c>
      <c r="AR29" s="211">
        <f t="shared" si="12"/>
        <v>711.09771960815851</v>
      </c>
      <c r="AS29" s="216">
        <f t="shared" si="8"/>
        <v>49857.615949493287</v>
      </c>
      <c r="AT29" s="429">
        <f t="shared" si="13"/>
        <v>49900</v>
      </c>
      <c r="AU29" s="443" t="s">
        <v>78</v>
      </c>
      <c r="AV29" s="20">
        <f t="shared" si="9"/>
        <v>0</v>
      </c>
    </row>
    <row r="30" spans="1:48" s="1" customFormat="1" ht="33" customHeight="1" x14ac:dyDescent="0.2">
      <c r="A30" s="651"/>
      <c r="B30" s="544">
        <v>26</v>
      </c>
      <c r="C30" s="598"/>
      <c r="D30" s="194" t="s">
        <v>386</v>
      </c>
      <c r="E30" s="195" t="s">
        <v>387</v>
      </c>
      <c r="F30" s="196" t="s">
        <v>85</v>
      </c>
      <c r="G30" s="197" t="s">
        <v>197</v>
      </c>
      <c r="H30" s="198">
        <v>68177739</v>
      </c>
      <c r="I30" s="198" t="s">
        <v>388</v>
      </c>
      <c r="J30" s="198" t="s">
        <v>241</v>
      </c>
      <c r="K30" s="198" t="s">
        <v>242</v>
      </c>
      <c r="L30" s="240">
        <v>30000</v>
      </c>
      <c r="M30" s="199">
        <v>498000</v>
      </c>
      <c r="N30" s="561" t="s">
        <v>720</v>
      </c>
      <c r="O30" s="200">
        <f t="shared" si="14"/>
        <v>35</v>
      </c>
      <c r="P30" s="201">
        <f t="shared" si="36"/>
        <v>0</v>
      </c>
      <c r="Q30" s="202">
        <v>0</v>
      </c>
      <c r="R30" s="203">
        <v>0</v>
      </c>
      <c r="S30" s="204">
        <v>0</v>
      </c>
      <c r="T30" s="205">
        <f t="shared" si="37"/>
        <v>35</v>
      </c>
      <c r="U30" s="202">
        <v>0</v>
      </c>
      <c r="V30" s="203">
        <v>31</v>
      </c>
      <c r="W30" s="204">
        <v>4</v>
      </c>
      <c r="X30" s="209">
        <f t="shared" si="38"/>
        <v>0</v>
      </c>
      <c r="Y30" s="203">
        <v>0</v>
      </c>
      <c r="Z30" s="201">
        <v>0</v>
      </c>
      <c r="AA30" s="208">
        <f t="shared" si="10"/>
        <v>498000</v>
      </c>
      <c r="AB30" s="209">
        <f t="shared" si="39"/>
        <v>298800</v>
      </c>
      <c r="AC30" s="203">
        <v>5000</v>
      </c>
      <c r="AD30" s="93">
        <f t="shared" si="18"/>
        <v>9.2999999999999989</v>
      </c>
      <c r="AE30" s="210">
        <f t="shared" si="1"/>
        <v>1031.8336233325049</v>
      </c>
      <c r="AF30" s="211">
        <f t="shared" si="19"/>
        <v>9596.0526969922939</v>
      </c>
      <c r="AG30" s="212">
        <f t="shared" si="2"/>
        <v>9.2999999999999989</v>
      </c>
      <c r="AH30" s="212">
        <f t="shared" si="3"/>
        <v>166.93376068376071</v>
      </c>
      <c r="AI30" s="213">
        <f t="shared" si="20"/>
        <v>1552.4839743589744</v>
      </c>
      <c r="AJ30" s="214">
        <f t="shared" si="4"/>
        <v>0</v>
      </c>
      <c r="AK30" s="191">
        <f t="shared" si="5"/>
        <v>1831.5018315018315</v>
      </c>
      <c r="AL30" s="190">
        <f t="shared" si="11"/>
        <v>0</v>
      </c>
      <c r="AM30" s="211">
        <v>10000</v>
      </c>
      <c r="AN30" s="203">
        <v>0</v>
      </c>
      <c r="AO30" s="203">
        <f t="shared" si="21"/>
        <v>21148.53667135127</v>
      </c>
      <c r="AP30" s="211">
        <f t="shared" si="6"/>
        <v>21148.53667135127</v>
      </c>
      <c r="AQ30" s="215">
        <f t="shared" si="7"/>
        <v>9.2999999999999989</v>
      </c>
      <c r="AR30" s="211">
        <f t="shared" si="12"/>
        <v>223.4192159579687</v>
      </c>
      <c r="AS30" s="216">
        <f t="shared" si="8"/>
        <v>21371.955887309239</v>
      </c>
      <c r="AT30" s="429">
        <f t="shared" si="13"/>
        <v>21400</v>
      </c>
      <c r="AU30" s="443" t="s">
        <v>85</v>
      </c>
      <c r="AV30" s="20">
        <f t="shared" si="9"/>
        <v>0</v>
      </c>
    </row>
    <row r="31" spans="1:48" s="1" customFormat="1" ht="41.25" customHeight="1" x14ac:dyDescent="0.2">
      <c r="A31" s="651"/>
      <c r="B31" s="544">
        <v>27</v>
      </c>
      <c r="C31" s="598"/>
      <c r="D31" s="194" t="s">
        <v>389</v>
      </c>
      <c r="E31" s="195" t="s">
        <v>390</v>
      </c>
      <c r="F31" s="196" t="s">
        <v>57</v>
      </c>
      <c r="G31" s="197" t="s">
        <v>197</v>
      </c>
      <c r="H31" s="198">
        <v>47810271</v>
      </c>
      <c r="I31" s="198" t="s">
        <v>391</v>
      </c>
      <c r="J31" s="198" t="s">
        <v>241</v>
      </c>
      <c r="K31" s="198" t="s">
        <v>242</v>
      </c>
      <c r="L31" s="240">
        <v>70000</v>
      </c>
      <c r="M31" s="199">
        <v>225000</v>
      </c>
      <c r="N31" s="561" t="s">
        <v>721</v>
      </c>
      <c r="O31" s="200">
        <f t="shared" si="14"/>
        <v>44</v>
      </c>
      <c r="P31" s="201">
        <f t="shared" si="36"/>
        <v>17</v>
      </c>
      <c r="Q31" s="202">
        <v>0</v>
      </c>
      <c r="R31" s="203">
        <v>10</v>
      </c>
      <c r="S31" s="204">
        <v>7</v>
      </c>
      <c r="T31" s="205">
        <f t="shared" si="37"/>
        <v>27</v>
      </c>
      <c r="U31" s="202">
        <v>0</v>
      </c>
      <c r="V31" s="203">
        <v>25</v>
      </c>
      <c r="W31" s="204">
        <v>2</v>
      </c>
      <c r="X31" s="209">
        <f t="shared" si="38"/>
        <v>3</v>
      </c>
      <c r="Y31" s="203">
        <v>3</v>
      </c>
      <c r="Z31" s="201">
        <v>0</v>
      </c>
      <c r="AA31" s="208">
        <f t="shared" si="10"/>
        <v>225000</v>
      </c>
      <c r="AB31" s="209">
        <f t="shared" si="39"/>
        <v>135000</v>
      </c>
      <c r="AC31" s="203">
        <v>13000</v>
      </c>
      <c r="AD31" s="93">
        <f t="shared" si="18"/>
        <v>21</v>
      </c>
      <c r="AE31" s="210">
        <f t="shared" si="1"/>
        <v>1031.8336233325049</v>
      </c>
      <c r="AF31" s="211">
        <f t="shared" si="19"/>
        <v>21668.506089982602</v>
      </c>
      <c r="AG31" s="212">
        <f t="shared" si="2"/>
        <v>17.5</v>
      </c>
      <c r="AH31" s="212">
        <f t="shared" si="3"/>
        <v>166.93376068376071</v>
      </c>
      <c r="AI31" s="213">
        <f t="shared" si="20"/>
        <v>2921.3408119658125</v>
      </c>
      <c r="AJ31" s="214">
        <f t="shared" si="4"/>
        <v>3</v>
      </c>
      <c r="AK31" s="191">
        <f t="shared" si="5"/>
        <v>1831.5018315018315</v>
      </c>
      <c r="AL31" s="190">
        <f t="shared" si="11"/>
        <v>5494.5054945054944</v>
      </c>
      <c r="AM31" s="211">
        <v>10000</v>
      </c>
      <c r="AN31" s="203">
        <v>0</v>
      </c>
      <c r="AO31" s="203">
        <f t="shared" si="21"/>
        <v>40084.352396453905</v>
      </c>
      <c r="AP31" s="211">
        <f t="shared" si="6"/>
        <v>40084.352396453905</v>
      </c>
      <c r="AQ31" s="215">
        <f t="shared" si="7"/>
        <v>21</v>
      </c>
      <c r="AR31" s="211">
        <f t="shared" si="12"/>
        <v>504.49500377605841</v>
      </c>
      <c r="AS31" s="216">
        <f t="shared" si="8"/>
        <v>40588.847400229963</v>
      </c>
      <c r="AT31" s="429">
        <f t="shared" si="13"/>
        <v>40600</v>
      </c>
      <c r="AU31" s="443" t="s">
        <v>57</v>
      </c>
      <c r="AV31" s="20">
        <f t="shared" si="9"/>
        <v>0</v>
      </c>
    </row>
    <row r="32" spans="1:48" s="1" customFormat="1" ht="33" customHeight="1" x14ac:dyDescent="0.2">
      <c r="A32" s="651"/>
      <c r="B32" s="544">
        <v>28</v>
      </c>
      <c r="C32" s="598"/>
      <c r="D32" s="194" t="s">
        <v>392</v>
      </c>
      <c r="E32" s="195" t="s">
        <v>393</v>
      </c>
      <c r="F32" s="196" t="s">
        <v>394</v>
      </c>
      <c r="G32" s="197" t="s">
        <v>197</v>
      </c>
      <c r="H32" s="198">
        <v>70630224</v>
      </c>
      <c r="I32" s="198" t="s">
        <v>395</v>
      </c>
      <c r="J32" s="198" t="s">
        <v>241</v>
      </c>
      <c r="K32" s="198" t="s">
        <v>242</v>
      </c>
      <c r="L32" s="240">
        <v>51000</v>
      </c>
      <c r="M32" s="199">
        <v>205000</v>
      </c>
      <c r="N32" s="561" t="s">
        <v>722</v>
      </c>
      <c r="O32" s="200">
        <f t="shared" si="14"/>
        <v>26</v>
      </c>
      <c r="P32" s="201">
        <f t="shared" si="36"/>
        <v>26</v>
      </c>
      <c r="Q32" s="202">
        <v>0</v>
      </c>
      <c r="R32" s="203">
        <v>14</v>
      </c>
      <c r="S32" s="204">
        <v>12</v>
      </c>
      <c r="T32" s="205">
        <f t="shared" si="37"/>
        <v>0</v>
      </c>
      <c r="U32" s="202">
        <v>0</v>
      </c>
      <c r="V32" s="203">
        <v>0</v>
      </c>
      <c r="W32" s="204">
        <v>0</v>
      </c>
      <c r="X32" s="209">
        <f t="shared" si="38"/>
        <v>3</v>
      </c>
      <c r="Y32" s="203">
        <v>3</v>
      </c>
      <c r="Z32" s="201">
        <v>0</v>
      </c>
      <c r="AA32" s="208">
        <f t="shared" si="10"/>
        <v>205000</v>
      </c>
      <c r="AB32" s="209">
        <f t="shared" si="39"/>
        <v>123000</v>
      </c>
      <c r="AC32" s="203">
        <v>41000</v>
      </c>
      <c r="AD32" s="93">
        <f t="shared" si="18"/>
        <v>20</v>
      </c>
      <c r="AE32" s="210">
        <f t="shared" si="1"/>
        <v>1031.8336233325049</v>
      </c>
      <c r="AF32" s="211">
        <f t="shared" si="19"/>
        <v>20636.672466650096</v>
      </c>
      <c r="AG32" s="212">
        <f t="shared" si="2"/>
        <v>14</v>
      </c>
      <c r="AH32" s="212">
        <f t="shared" si="3"/>
        <v>166.93376068376071</v>
      </c>
      <c r="AI32" s="213">
        <f t="shared" si="20"/>
        <v>2337.0726495726499</v>
      </c>
      <c r="AJ32" s="214">
        <f t="shared" si="4"/>
        <v>3</v>
      </c>
      <c r="AK32" s="191">
        <f t="shared" si="5"/>
        <v>1831.5018315018315</v>
      </c>
      <c r="AL32" s="190">
        <f t="shared" si="11"/>
        <v>5494.5054945054944</v>
      </c>
      <c r="AM32" s="211">
        <v>10000</v>
      </c>
      <c r="AN32" s="203">
        <v>0</v>
      </c>
      <c r="AO32" s="203">
        <f t="shared" si="21"/>
        <v>38468.250610728239</v>
      </c>
      <c r="AP32" s="211">
        <f t="shared" si="6"/>
        <v>38468.250610728239</v>
      </c>
      <c r="AQ32" s="215">
        <f t="shared" si="7"/>
        <v>20</v>
      </c>
      <c r="AR32" s="211">
        <f t="shared" si="12"/>
        <v>480.47143216767466</v>
      </c>
      <c r="AS32" s="216">
        <f t="shared" si="8"/>
        <v>38948.722042895912</v>
      </c>
      <c r="AT32" s="429">
        <f t="shared" si="13"/>
        <v>38900</v>
      </c>
      <c r="AU32" s="443" t="s">
        <v>394</v>
      </c>
      <c r="AV32" s="20">
        <f t="shared" si="9"/>
        <v>0</v>
      </c>
    </row>
    <row r="33" spans="1:48" s="1" customFormat="1" ht="39.75" customHeight="1" x14ac:dyDescent="0.2">
      <c r="A33" s="651"/>
      <c r="B33" s="544">
        <v>29</v>
      </c>
      <c r="C33" s="598"/>
      <c r="D33" s="194" t="s">
        <v>396</v>
      </c>
      <c r="E33" s="195" t="s">
        <v>397</v>
      </c>
      <c r="F33" s="196" t="s">
        <v>76</v>
      </c>
      <c r="G33" s="197" t="s">
        <v>197</v>
      </c>
      <c r="H33" s="198">
        <v>26655268</v>
      </c>
      <c r="I33" s="198" t="s">
        <v>398</v>
      </c>
      <c r="J33" s="198" t="s">
        <v>241</v>
      </c>
      <c r="K33" s="198" t="s">
        <v>242</v>
      </c>
      <c r="L33" s="240">
        <v>60000</v>
      </c>
      <c r="M33" s="199">
        <v>267000</v>
      </c>
      <c r="N33" s="561" t="s">
        <v>723</v>
      </c>
      <c r="O33" s="239">
        <f t="shared" si="14"/>
        <v>26</v>
      </c>
      <c r="P33" s="201">
        <f t="shared" si="36"/>
        <v>6</v>
      </c>
      <c r="Q33" s="202">
        <v>0</v>
      </c>
      <c r="R33" s="203">
        <v>1</v>
      </c>
      <c r="S33" s="204">
        <v>5</v>
      </c>
      <c r="T33" s="205">
        <f t="shared" si="37"/>
        <v>20</v>
      </c>
      <c r="U33" s="202">
        <v>0</v>
      </c>
      <c r="V33" s="203">
        <v>5</v>
      </c>
      <c r="W33" s="204">
        <v>15</v>
      </c>
      <c r="X33" s="209">
        <f t="shared" si="38"/>
        <v>7</v>
      </c>
      <c r="Y33" s="203">
        <v>7</v>
      </c>
      <c r="Z33" s="201">
        <v>0</v>
      </c>
      <c r="AA33" s="208">
        <f t="shared" si="10"/>
        <v>267000</v>
      </c>
      <c r="AB33" s="209">
        <f t="shared" si="39"/>
        <v>160200</v>
      </c>
      <c r="AC33" s="203">
        <v>13000</v>
      </c>
      <c r="AD33" s="93">
        <f t="shared" si="18"/>
        <v>5</v>
      </c>
      <c r="AE33" s="210">
        <f t="shared" si="1"/>
        <v>1031.8336233325049</v>
      </c>
      <c r="AF33" s="211">
        <f t="shared" si="19"/>
        <v>5159.168116662524</v>
      </c>
      <c r="AG33" s="212">
        <f t="shared" si="2"/>
        <v>2.5</v>
      </c>
      <c r="AH33" s="212">
        <f t="shared" si="3"/>
        <v>166.93376068376071</v>
      </c>
      <c r="AI33" s="213">
        <f t="shared" si="20"/>
        <v>417.33440170940179</v>
      </c>
      <c r="AJ33" s="214">
        <f t="shared" si="4"/>
        <v>7</v>
      </c>
      <c r="AK33" s="191">
        <f t="shared" si="5"/>
        <v>1831.5018315018315</v>
      </c>
      <c r="AL33" s="190">
        <f t="shared" si="11"/>
        <v>12820.51282051282</v>
      </c>
      <c r="AM33" s="211">
        <v>10000</v>
      </c>
      <c r="AN33" s="203">
        <v>0</v>
      </c>
      <c r="AO33" s="203">
        <f t="shared" si="21"/>
        <v>28397.015338884747</v>
      </c>
      <c r="AP33" s="211">
        <f t="shared" si="6"/>
        <v>28397.015338884747</v>
      </c>
      <c r="AQ33" s="215">
        <f t="shared" si="7"/>
        <v>5</v>
      </c>
      <c r="AR33" s="211">
        <f t="shared" si="12"/>
        <v>120.11785804191867</v>
      </c>
      <c r="AS33" s="216">
        <f t="shared" si="8"/>
        <v>28517.133196926665</v>
      </c>
      <c r="AT33" s="429">
        <f t="shared" si="13"/>
        <v>28500</v>
      </c>
      <c r="AU33" s="443" t="s">
        <v>76</v>
      </c>
      <c r="AV33" s="20">
        <f t="shared" si="9"/>
        <v>0</v>
      </c>
    </row>
    <row r="34" spans="1:48" s="1" customFormat="1" ht="33" customHeight="1" x14ac:dyDescent="0.2">
      <c r="A34" s="651"/>
      <c r="B34" s="544">
        <v>30</v>
      </c>
      <c r="C34" s="598"/>
      <c r="D34" s="194" t="s">
        <v>399</v>
      </c>
      <c r="E34" s="195" t="s">
        <v>400</v>
      </c>
      <c r="F34" s="196" t="s">
        <v>111</v>
      </c>
      <c r="G34" s="197" t="s">
        <v>197</v>
      </c>
      <c r="H34" s="198">
        <v>14615771</v>
      </c>
      <c r="I34" s="198" t="s">
        <v>401</v>
      </c>
      <c r="J34" s="198" t="s">
        <v>241</v>
      </c>
      <c r="K34" s="198" t="s">
        <v>242</v>
      </c>
      <c r="L34" s="240">
        <v>95000</v>
      </c>
      <c r="M34" s="199">
        <v>524000</v>
      </c>
      <c r="N34" s="561" t="s">
        <v>724</v>
      </c>
      <c r="O34" s="239">
        <f t="shared" si="14"/>
        <v>211</v>
      </c>
      <c r="P34" s="201">
        <f t="shared" si="36"/>
        <v>40</v>
      </c>
      <c r="Q34" s="202">
        <v>0</v>
      </c>
      <c r="R34" s="203">
        <v>39</v>
      </c>
      <c r="S34" s="204">
        <v>1</v>
      </c>
      <c r="T34" s="205">
        <f t="shared" si="37"/>
        <v>171</v>
      </c>
      <c r="U34" s="202">
        <v>5</v>
      </c>
      <c r="V34" s="203">
        <v>90</v>
      </c>
      <c r="W34" s="204">
        <v>76</v>
      </c>
      <c r="X34" s="209">
        <f t="shared" si="38"/>
        <v>10</v>
      </c>
      <c r="Y34" s="203">
        <v>9</v>
      </c>
      <c r="Z34" s="201">
        <v>1</v>
      </c>
      <c r="AA34" s="208">
        <f t="shared" si="10"/>
        <v>524000</v>
      </c>
      <c r="AB34" s="209">
        <f t="shared" si="39"/>
        <v>314400</v>
      </c>
      <c r="AC34" s="203">
        <v>149000</v>
      </c>
      <c r="AD34" s="93">
        <f t="shared" si="18"/>
        <v>66.5</v>
      </c>
      <c r="AE34" s="210">
        <f t="shared" si="1"/>
        <v>1031.8336233325049</v>
      </c>
      <c r="AF34" s="211">
        <f t="shared" si="19"/>
        <v>68616.93595161158</v>
      </c>
      <c r="AG34" s="212">
        <f t="shared" si="2"/>
        <v>66</v>
      </c>
      <c r="AH34" s="212">
        <f t="shared" si="3"/>
        <v>166.93376068376071</v>
      </c>
      <c r="AI34" s="213">
        <f t="shared" si="20"/>
        <v>11017.628205128207</v>
      </c>
      <c r="AJ34" s="214">
        <f t="shared" si="4"/>
        <v>9</v>
      </c>
      <c r="AK34" s="191">
        <f t="shared" si="5"/>
        <v>1831.5018315018315</v>
      </c>
      <c r="AL34" s="190">
        <f t="shared" si="11"/>
        <v>16483.516483516483</v>
      </c>
      <c r="AM34" s="211">
        <v>10000</v>
      </c>
      <c r="AN34" s="203">
        <v>0</v>
      </c>
      <c r="AO34" s="203">
        <f t="shared" si="21"/>
        <v>106118.08064025626</v>
      </c>
      <c r="AP34" s="211">
        <f t="shared" si="6"/>
        <v>106118.08064025626</v>
      </c>
      <c r="AQ34" s="215">
        <f t="shared" si="7"/>
        <v>66.5</v>
      </c>
      <c r="AR34" s="211">
        <f t="shared" si="12"/>
        <v>1597.5675119575183</v>
      </c>
      <c r="AS34" s="216">
        <f t="shared" si="8"/>
        <v>107715.64815221378</v>
      </c>
      <c r="AT34" s="429">
        <f t="shared" si="13"/>
        <v>107700</v>
      </c>
      <c r="AU34" s="443" t="s">
        <v>111</v>
      </c>
      <c r="AV34" s="20">
        <f t="shared" si="9"/>
        <v>0</v>
      </c>
    </row>
    <row r="35" spans="1:48" s="1" customFormat="1" ht="33" customHeight="1" x14ac:dyDescent="0.2">
      <c r="A35" s="651"/>
      <c r="B35" s="544">
        <v>31</v>
      </c>
      <c r="C35" s="598"/>
      <c r="D35" s="194" t="s">
        <v>402</v>
      </c>
      <c r="E35" s="195" t="s">
        <v>403</v>
      </c>
      <c r="F35" s="196" t="s">
        <v>404</v>
      </c>
      <c r="G35" s="197" t="s">
        <v>197</v>
      </c>
      <c r="H35" s="198">
        <v>48003212</v>
      </c>
      <c r="I35" s="198" t="s">
        <v>405</v>
      </c>
      <c r="J35" s="198" t="s">
        <v>241</v>
      </c>
      <c r="K35" s="198" t="s">
        <v>242</v>
      </c>
      <c r="L35" s="240">
        <v>120000</v>
      </c>
      <c r="M35" s="199">
        <v>470000</v>
      </c>
      <c r="N35" s="561" t="s">
        <v>725</v>
      </c>
      <c r="O35" s="239">
        <f t="shared" si="14"/>
        <v>186</v>
      </c>
      <c r="P35" s="201">
        <f t="shared" si="36"/>
        <v>47</v>
      </c>
      <c r="Q35" s="202">
        <v>0</v>
      </c>
      <c r="R35" s="203">
        <v>47</v>
      </c>
      <c r="S35" s="204">
        <v>0</v>
      </c>
      <c r="T35" s="205">
        <f t="shared" si="37"/>
        <v>139</v>
      </c>
      <c r="U35" s="202">
        <v>0</v>
      </c>
      <c r="V35" s="203">
        <v>138</v>
      </c>
      <c r="W35" s="204">
        <v>1</v>
      </c>
      <c r="X35" s="209">
        <f t="shared" si="38"/>
        <v>3</v>
      </c>
      <c r="Y35" s="203">
        <v>2</v>
      </c>
      <c r="Z35" s="201">
        <v>1</v>
      </c>
      <c r="AA35" s="208">
        <f t="shared" si="10"/>
        <v>470000</v>
      </c>
      <c r="AB35" s="209">
        <f t="shared" si="39"/>
        <v>282000</v>
      </c>
      <c r="AC35" s="203">
        <v>25000</v>
      </c>
      <c r="AD35" s="93">
        <f t="shared" si="18"/>
        <v>88.4</v>
      </c>
      <c r="AE35" s="210">
        <f t="shared" si="1"/>
        <v>1031.8336233325049</v>
      </c>
      <c r="AF35" s="211">
        <f t="shared" si="19"/>
        <v>91214.092302593432</v>
      </c>
      <c r="AG35" s="212">
        <f t="shared" si="2"/>
        <v>88.4</v>
      </c>
      <c r="AH35" s="212">
        <f t="shared" si="3"/>
        <v>166.93376068376071</v>
      </c>
      <c r="AI35" s="213">
        <f t="shared" si="20"/>
        <v>14756.944444444447</v>
      </c>
      <c r="AJ35" s="214">
        <f t="shared" si="4"/>
        <v>2</v>
      </c>
      <c r="AK35" s="191">
        <f t="shared" si="5"/>
        <v>1831.5018315018315</v>
      </c>
      <c r="AL35" s="190">
        <f t="shared" si="11"/>
        <v>3663.003663003663</v>
      </c>
      <c r="AM35" s="211">
        <v>10000</v>
      </c>
      <c r="AN35" s="203">
        <v>0</v>
      </c>
      <c r="AO35" s="203">
        <f t="shared" si="21"/>
        <v>119634.04041004155</v>
      </c>
      <c r="AP35" s="211">
        <f t="shared" si="6"/>
        <v>119634.04041004155</v>
      </c>
      <c r="AQ35" s="215">
        <f t="shared" si="7"/>
        <v>88.4</v>
      </c>
      <c r="AR35" s="211">
        <f t="shared" si="12"/>
        <v>2123.683730181122</v>
      </c>
      <c r="AS35" s="216">
        <f t="shared" si="8"/>
        <v>121757.72414022266</v>
      </c>
      <c r="AT35" s="429">
        <f t="shared" si="13"/>
        <v>121800</v>
      </c>
      <c r="AU35" s="443" t="s">
        <v>404</v>
      </c>
      <c r="AV35" s="20">
        <f t="shared" si="9"/>
        <v>0</v>
      </c>
    </row>
    <row r="36" spans="1:48" s="1" customFormat="1" ht="42" customHeight="1" x14ac:dyDescent="0.2">
      <c r="A36" s="651"/>
      <c r="B36" s="544">
        <v>32</v>
      </c>
      <c r="C36" s="598"/>
      <c r="D36" s="194" t="s">
        <v>413</v>
      </c>
      <c r="E36" s="195" t="s">
        <v>414</v>
      </c>
      <c r="F36" s="196" t="s">
        <v>415</v>
      </c>
      <c r="G36" s="197" t="s">
        <v>197</v>
      </c>
      <c r="H36" s="198">
        <v>44738854</v>
      </c>
      <c r="I36" s="198" t="s">
        <v>416</v>
      </c>
      <c r="J36" s="198" t="s">
        <v>241</v>
      </c>
      <c r="K36" s="198" t="s">
        <v>242</v>
      </c>
      <c r="L36" s="240">
        <v>40000</v>
      </c>
      <c r="M36" s="199">
        <v>94000</v>
      </c>
      <c r="N36" s="561" t="s">
        <v>726</v>
      </c>
      <c r="O36" s="239">
        <f t="shared" si="14"/>
        <v>99</v>
      </c>
      <c r="P36" s="201">
        <f t="shared" si="36"/>
        <v>49</v>
      </c>
      <c r="Q36" s="202">
        <v>0</v>
      </c>
      <c r="R36" s="203">
        <v>7</v>
      </c>
      <c r="S36" s="204">
        <v>42</v>
      </c>
      <c r="T36" s="205">
        <f t="shared" si="37"/>
        <v>50</v>
      </c>
      <c r="U36" s="202">
        <v>0</v>
      </c>
      <c r="V36" s="203">
        <v>3</v>
      </c>
      <c r="W36" s="204">
        <v>47</v>
      </c>
      <c r="X36" s="209">
        <f t="shared" si="38"/>
        <v>0</v>
      </c>
      <c r="Y36" s="203">
        <v>0</v>
      </c>
      <c r="Z36" s="201">
        <v>0</v>
      </c>
      <c r="AA36" s="208">
        <f t="shared" si="10"/>
        <v>94000</v>
      </c>
      <c r="AB36" s="209">
        <f t="shared" si="39"/>
        <v>56400</v>
      </c>
      <c r="AC36" s="203">
        <v>33000</v>
      </c>
      <c r="AD36" s="93">
        <f t="shared" si="18"/>
        <v>28.9</v>
      </c>
      <c r="AE36" s="210">
        <f t="shared" si="1"/>
        <v>1031.8336233325049</v>
      </c>
      <c r="AF36" s="211">
        <f t="shared" si="19"/>
        <v>29819.991714309388</v>
      </c>
      <c r="AG36" s="212">
        <f t="shared" si="2"/>
        <v>7.9</v>
      </c>
      <c r="AH36" s="212">
        <f t="shared" si="3"/>
        <v>166.93376068376071</v>
      </c>
      <c r="AI36" s="213">
        <f t="shared" si="20"/>
        <v>1318.7767094017097</v>
      </c>
      <c r="AJ36" s="214">
        <f t="shared" si="4"/>
        <v>0</v>
      </c>
      <c r="AK36" s="191">
        <f t="shared" si="5"/>
        <v>1831.5018315018315</v>
      </c>
      <c r="AL36" s="190">
        <f t="shared" si="11"/>
        <v>0</v>
      </c>
      <c r="AM36" s="211">
        <v>10000</v>
      </c>
      <c r="AN36" s="203">
        <v>0</v>
      </c>
      <c r="AO36" s="203">
        <f t="shared" si="21"/>
        <v>41138.768423711095</v>
      </c>
      <c r="AP36" s="211">
        <f t="shared" si="6"/>
        <v>41138.768423711095</v>
      </c>
      <c r="AQ36" s="215">
        <f t="shared" si="7"/>
        <v>28.9</v>
      </c>
      <c r="AR36" s="211">
        <f t="shared" si="12"/>
        <v>694.28121948228988</v>
      </c>
      <c r="AS36" s="216">
        <f t="shared" si="8"/>
        <v>41833.049643193386</v>
      </c>
      <c r="AT36" s="429">
        <f t="shared" si="13"/>
        <v>41800</v>
      </c>
      <c r="AU36" s="443" t="s">
        <v>415</v>
      </c>
      <c r="AV36" s="20">
        <f t="shared" si="9"/>
        <v>0</v>
      </c>
    </row>
    <row r="37" spans="1:48" s="1" customFormat="1" ht="46.5" customHeight="1" x14ac:dyDescent="0.2">
      <c r="A37" s="651"/>
      <c r="B37" s="544">
        <v>33</v>
      </c>
      <c r="C37" s="598"/>
      <c r="D37" s="194" t="s">
        <v>417</v>
      </c>
      <c r="E37" s="195" t="s">
        <v>418</v>
      </c>
      <c r="F37" s="196" t="s">
        <v>71</v>
      </c>
      <c r="G37" s="197" t="s">
        <v>197</v>
      </c>
      <c r="H37" s="198" t="s">
        <v>70</v>
      </c>
      <c r="I37" s="198" t="s">
        <v>419</v>
      </c>
      <c r="J37" s="198" t="s">
        <v>241</v>
      </c>
      <c r="K37" s="198" t="s">
        <v>242</v>
      </c>
      <c r="L37" s="240">
        <v>75000</v>
      </c>
      <c r="M37" s="199">
        <v>660000</v>
      </c>
      <c r="N37" s="561" t="s">
        <v>727</v>
      </c>
      <c r="O37" s="239">
        <f t="shared" si="14"/>
        <v>91</v>
      </c>
      <c r="P37" s="201">
        <f t="shared" ref="P37:P56" si="40">+Q37+R37+S37</f>
        <v>15</v>
      </c>
      <c r="Q37" s="202">
        <v>0</v>
      </c>
      <c r="R37" s="203">
        <v>15</v>
      </c>
      <c r="S37" s="204">
        <v>0</v>
      </c>
      <c r="T37" s="205">
        <f t="shared" ref="T37:T56" si="41">+U37+V37+W37</f>
        <v>76</v>
      </c>
      <c r="U37" s="202">
        <v>0</v>
      </c>
      <c r="V37" s="203">
        <v>76</v>
      </c>
      <c r="W37" s="204">
        <v>0</v>
      </c>
      <c r="X37" s="209">
        <f t="shared" ref="X37:X56" si="42">+Y37+Z37</f>
        <v>4</v>
      </c>
      <c r="Y37" s="203">
        <v>4</v>
      </c>
      <c r="Z37" s="201">
        <v>0</v>
      </c>
      <c r="AA37" s="208">
        <f t="shared" si="10"/>
        <v>660000</v>
      </c>
      <c r="AB37" s="209">
        <f t="shared" ref="AB37:AB56" si="43">AA37*koef</f>
        <v>396000</v>
      </c>
      <c r="AC37" s="203">
        <v>13000</v>
      </c>
      <c r="AD37" s="93">
        <f t="shared" si="18"/>
        <v>37.799999999999997</v>
      </c>
      <c r="AE37" s="210">
        <f t="shared" ref="AE37:AE65" si="44">čLENN/_BOD1</f>
        <v>1031.8336233325049</v>
      </c>
      <c r="AF37" s="211">
        <f t="shared" ref="AF37:AF65" si="45">AD37*AE37</f>
        <v>39003.31096196868</v>
      </c>
      <c r="AG37" s="212">
        <f t="shared" ref="AG37:AG65" si="46">(R37*1)+(V37*0.3)</f>
        <v>37.799999999999997</v>
      </c>
      <c r="AH37" s="212">
        <f t="shared" si="3"/>
        <v>166.93376068376071</v>
      </c>
      <c r="AI37" s="213">
        <f t="shared" si="20"/>
        <v>6310.0961538461543</v>
      </c>
      <c r="AJ37" s="214">
        <f t="shared" ref="AJ37:AJ65" si="47">Y37</f>
        <v>4</v>
      </c>
      <c r="AK37" s="191">
        <f t="shared" si="5"/>
        <v>1831.5018315018315</v>
      </c>
      <c r="AL37" s="190">
        <f t="shared" si="11"/>
        <v>7326.0073260073259</v>
      </c>
      <c r="AM37" s="211">
        <v>10000</v>
      </c>
      <c r="AN37" s="203">
        <v>0</v>
      </c>
      <c r="AO37" s="203">
        <f t="shared" si="21"/>
        <v>62639.414441822162</v>
      </c>
      <c r="AP37" s="211">
        <f t="shared" ref="AP37:AP65" si="48">IF(AV37=1,AB37,AO37)</f>
        <v>62639.414441822162</v>
      </c>
      <c r="AQ37" s="215">
        <f t="shared" ref="AQ37:AQ90" si="49">IF(AV37=1,0,AD37)</f>
        <v>37.799999999999997</v>
      </c>
      <c r="AR37" s="211">
        <f t="shared" ref="AR37:AR65" si="50">(Zůstatek/členovéstrop)*AQ37</f>
        <v>908.09100679690505</v>
      </c>
      <c r="AS37" s="216">
        <f t="shared" si="8"/>
        <v>63547.505448619064</v>
      </c>
      <c r="AT37" s="429">
        <f t="shared" si="13"/>
        <v>63500</v>
      </c>
      <c r="AU37" s="443" t="s">
        <v>71</v>
      </c>
      <c r="AV37" s="20">
        <f t="shared" ref="AV37:AV65" si="51">IF(AB37&gt;=AO37,0,1)</f>
        <v>0</v>
      </c>
    </row>
    <row r="38" spans="1:48" s="1" customFormat="1" ht="33" customHeight="1" x14ac:dyDescent="0.2">
      <c r="A38" s="651"/>
      <c r="B38" s="544">
        <v>34</v>
      </c>
      <c r="C38" s="598"/>
      <c r="D38" s="194" t="s">
        <v>420</v>
      </c>
      <c r="E38" s="195" t="s">
        <v>421</v>
      </c>
      <c r="F38" s="196" t="s">
        <v>104</v>
      </c>
      <c r="G38" s="197" t="s">
        <v>197</v>
      </c>
      <c r="H38" s="198">
        <v>27018130</v>
      </c>
      <c r="I38" s="198" t="s">
        <v>422</v>
      </c>
      <c r="J38" s="198" t="s">
        <v>241</v>
      </c>
      <c r="K38" s="198" t="s">
        <v>242</v>
      </c>
      <c r="L38" s="240">
        <v>170000</v>
      </c>
      <c r="M38" s="199">
        <v>800000</v>
      </c>
      <c r="N38" s="561" t="s">
        <v>728</v>
      </c>
      <c r="O38" s="239">
        <f t="shared" si="14"/>
        <v>464</v>
      </c>
      <c r="P38" s="201">
        <f t="shared" si="40"/>
        <v>30</v>
      </c>
      <c r="Q38" s="202">
        <v>3</v>
      </c>
      <c r="R38" s="203">
        <v>27</v>
      </c>
      <c r="S38" s="204">
        <v>0</v>
      </c>
      <c r="T38" s="205">
        <f t="shared" si="41"/>
        <v>434</v>
      </c>
      <c r="U38" s="202">
        <v>11</v>
      </c>
      <c r="V38" s="203">
        <v>405</v>
      </c>
      <c r="W38" s="204">
        <v>18</v>
      </c>
      <c r="X38" s="209">
        <f t="shared" si="42"/>
        <v>9</v>
      </c>
      <c r="Y38" s="203">
        <v>9</v>
      </c>
      <c r="Z38" s="201">
        <v>0</v>
      </c>
      <c r="AA38" s="208">
        <f t="shared" si="10"/>
        <v>800000</v>
      </c>
      <c r="AB38" s="209">
        <f t="shared" si="43"/>
        <v>480000</v>
      </c>
      <c r="AC38" s="203">
        <v>58000</v>
      </c>
      <c r="AD38" s="93">
        <f t="shared" si="18"/>
        <v>148.5</v>
      </c>
      <c r="AE38" s="210">
        <f t="shared" si="44"/>
        <v>1031.8336233325049</v>
      </c>
      <c r="AF38" s="211">
        <f t="shared" si="45"/>
        <v>153227.29306487698</v>
      </c>
      <c r="AG38" s="212">
        <f t="shared" si="46"/>
        <v>148.5</v>
      </c>
      <c r="AH38" s="212">
        <f t="shared" si="3"/>
        <v>166.93376068376071</v>
      </c>
      <c r="AI38" s="213">
        <f t="shared" si="20"/>
        <v>24789.663461538465</v>
      </c>
      <c r="AJ38" s="214">
        <f t="shared" si="47"/>
        <v>9</v>
      </c>
      <c r="AK38" s="191">
        <f t="shared" si="5"/>
        <v>1831.5018315018315</v>
      </c>
      <c r="AL38" s="190">
        <f t="shared" si="11"/>
        <v>16483.516483516483</v>
      </c>
      <c r="AM38" s="211">
        <v>10000</v>
      </c>
      <c r="AN38" s="203">
        <v>0</v>
      </c>
      <c r="AO38" s="203">
        <f t="shared" si="21"/>
        <v>204500.47300993194</v>
      </c>
      <c r="AP38" s="211">
        <f t="shared" si="48"/>
        <v>204500.47300993194</v>
      </c>
      <c r="AQ38" s="215">
        <f t="shared" si="49"/>
        <v>148.5</v>
      </c>
      <c r="AR38" s="211">
        <f t="shared" si="50"/>
        <v>3567.5003838449843</v>
      </c>
      <c r="AS38" s="216">
        <f t="shared" si="8"/>
        <v>208067.97339377692</v>
      </c>
      <c r="AT38" s="429">
        <f t="shared" si="13"/>
        <v>208100</v>
      </c>
      <c r="AU38" s="443" t="s">
        <v>104</v>
      </c>
      <c r="AV38" s="20">
        <f t="shared" si="51"/>
        <v>0</v>
      </c>
    </row>
    <row r="39" spans="1:48" s="1" customFormat="1" ht="33" customHeight="1" x14ac:dyDescent="0.2">
      <c r="A39" s="651"/>
      <c r="B39" s="544">
        <v>35</v>
      </c>
      <c r="C39" s="598"/>
      <c r="D39" s="194" t="s">
        <v>423</v>
      </c>
      <c r="E39" s="195" t="s">
        <v>424</v>
      </c>
      <c r="F39" s="196" t="s">
        <v>425</v>
      </c>
      <c r="G39" s="197" t="s">
        <v>197</v>
      </c>
      <c r="H39" s="198" t="s">
        <v>426</v>
      </c>
      <c r="I39" s="198" t="s">
        <v>427</v>
      </c>
      <c r="J39" s="198" t="s">
        <v>241</v>
      </c>
      <c r="K39" s="198" t="s">
        <v>242</v>
      </c>
      <c r="L39" s="240">
        <v>80000</v>
      </c>
      <c r="M39" s="199">
        <v>560000</v>
      </c>
      <c r="N39" s="561" t="s">
        <v>729</v>
      </c>
      <c r="O39" s="239">
        <f t="shared" si="14"/>
        <v>338</v>
      </c>
      <c r="P39" s="201">
        <f t="shared" si="40"/>
        <v>80</v>
      </c>
      <c r="Q39" s="202">
        <v>0</v>
      </c>
      <c r="R39" s="203">
        <v>80</v>
      </c>
      <c r="S39" s="204">
        <v>0</v>
      </c>
      <c r="T39" s="205">
        <f t="shared" si="41"/>
        <v>258</v>
      </c>
      <c r="U39" s="202">
        <v>21</v>
      </c>
      <c r="V39" s="203">
        <v>220</v>
      </c>
      <c r="W39" s="204">
        <v>17</v>
      </c>
      <c r="X39" s="209">
        <f t="shared" si="42"/>
        <v>1</v>
      </c>
      <c r="Y39" s="203">
        <v>1</v>
      </c>
      <c r="Z39" s="201">
        <v>0</v>
      </c>
      <c r="AA39" s="208">
        <f t="shared" si="10"/>
        <v>560000</v>
      </c>
      <c r="AB39" s="209">
        <f t="shared" si="43"/>
        <v>336000</v>
      </c>
      <c r="AC39" s="203">
        <v>23000</v>
      </c>
      <c r="AD39" s="93">
        <f t="shared" si="18"/>
        <v>146</v>
      </c>
      <c r="AE39" s="210">
        <f t="shared" si="44"/>
        <v>1031.8336233325049</v>
      </c>
      <c r="AF39" s="211">
        <f t="shared" si="45"/>
        <v>150647.70900654572</v>
      </c>
      <c r="AG39" s="212">
        <f t="shared" si="46"/>
        <v>146</v>
      </c>
      <c r="AH39" s="212">
        <f t="shared" si="3"/>
        <v>166.93376068376071</v>
      </c>
      <c r="AI39" s="213">
        <f t="shared" si="20"/>
        <v>24372.329059829062</v>
      </c>
      <c r="AJ39" s="214">
        <f t="shared" si="47"/>
        <v>1</v>
      </c>
      <c r="AK39" s="191">
        <f t="shared" si="5"/>
        <v>1831.5018315018315</v>
      </c>
      <c r="AL39" s="190">
        <f t="shared" si="11"/>
        <v>1831.5018315018315</v>
      </c>
      <c r="AM39" s="211">
        <v>10000</v>
      </c>
      <c r="AN39" s="203">
        <v>0</v>
      </c>
      <c r="AO39" s="203">
        <f t="shared" si="21"/>
        <v>186851.53989787662</v>
      </c>
      <c r="AP39" s="211">
        <f t="shared" si="48"/>
        <v>186851.53989787662</v>
      </c>
      <c r="AQ39" s="215">
        <f t="shared" si="49"/>
        <v>146</v>
      </c>
      <c r="AR39" s="211">
        <f t="shared" si="50"/>
        <v>3507.4414548240252</v>
      </c>
      <c r="AS39" s="216">
        <f t="shared" si="8"/>
        <v>190358.98135270065</v>
      </c>
      <c r="AT39" s="429">
        <f t="shared" si="13"/>
        <v>190400</v>
      </c>
      <c r="AU39" s="443" t="s">
        <v>425</v>
      </c>
      <c r="AV39" s="20">
        <f t="shared" si="51"/>
        <v>0</v>
      </c>
    </row>
    <row r="40" spans="1:48" s="1" customFormat="1" ht="33" customHeight="1" x14ac:dyDescent="0.2">
      <c r="A40" s="651"/>
      <c r="B40" s="544">
        <v>36</v>
      </c>
      <c r="C40" s="598"/>
      <c r="D40" s="194" t="s">
        <v>428</v>
      </c>
      <c r="E40" s="195" t="s">
        <v>429</v>
      </c>
      <c r="F40" s="196" t="s">
        <v>97</v>
      </c>
      <c r="G40" s="197" t="s">
        <v>197</v>
      </c>
      <c r="H40" s="198">
        <v>47814241</v>
      </c>
      <c r="I40" s="198" t="s">
        <v>430</v>
      </c>
      <c r="J40" s="198" t="s">
        <v>241</v>
      </c>
      <c r="K40" s="198" t="s">
        <v>242</v>
      </c>
      <c r="L40" s="240">
        <v>30000</v>
      </c>
      <c r="M40" s="199">
        <v>75000</v>
      </c>
      <c r="N40" s="561" t="s">
        <v>730</v>
      </c>
      <c r="O40" s="239">
        <f t="shared" si="14"/>
        <v>43</v>
      </c>
      <c r="P40" s="201">
        <f t="shared" si="40"/>
        <v>21</v>
      </c>
      <c r="Q40" s="202">
        <v>0</v>
      </c>
      <c r="R40" s="203">
        <v>3</v>
      </c>
      <c r="S40" s="204">
        <v>18</v>
      </c>
      <c r="T40" s="205">
        <f t="shared" si="41"/>
        <v>22</v>
      </c>
      <c r="U40" s="202">
        <v>0</v>
      </c>
      <c r="V40" s="203">
        <v>5</v>
      </c>
      <c r="W40" s="204">
        <v>17</v>
      </c>
      <c r="X40" s="209">
        <f t="shared" si="42"/>
        <v>1</v>
      </c>
      <c r="Y40" s="203">
        <v>1</v>
      </c>
      <c r="Z40" s="201">
        <v>0</v>
      </c>
      <c r="AA40" s="208">
        <f t="shared" si="10"/>
        <v>75000</v>
      </c>
      <c r="AB40" s="209">
        <f t="shared" si="43"/>
        <v>45000</v>
      </c>
      <c r="AC40" s="203">
        <v>10000</v>
      </c>
      <c r="AD40" s="93">
        <f t="shared" si="18"/>
        <v>13.5</v>
      </c>
      <c r="AE40" s="210">
        <f t="shared" si="44"/>
        <v>1031.8336233325049</v>
      </c>
      <c r="AF40" s="211">
        <f t="shared" si="45"/>
        <v>13929.753914988816</v>
      </c>
      <c r="AG40" s="212">
        <f t="shared" si="46"/>
        <v>4.5</v>
      </c>
      <c r="AH40" s="212">
        <f t="shared" si="3"/>
        <v>166.93376068376071</v>
      </c>
      <c r="AI40" s="213">
        <f t="shared" si="20"/>
        <v>751.20192307692321</v>
      </c>
      <c r="AJ40" s="214">
        <f t="shared" si="47"/>
        <v>1</v>
      </c>
      <c r="AK40" s="191">
        <f t="shared" si="5"/>
        <v>1831.5018315018315</v>
      </c>
      <c r="AL40" s="190">
        <f t="shared" si="11"/>
        <v>1831.5018315018315</v>
      </c>
      <c r="AM40" s="211">
        <v>10000</v>
      </c>
      <c r="AN40" s="203">
        <v>0</v>
      </c>
      <c r="AO40" s="203">
        <f t="shared" si="21"/>
        <v>26512.457669567571</v>
      </c>
      <c r="AP40" s="211">
        <f t="shared" si="48"/>
        <v>26512.457669567571</v>
      </c>
      <c r="AQ40" s="215">
        <f t="shared" si="49"/>
        <v>13.5</v>
      </c>
      <c r="AR40" s="211">
        <f t="shared" si="50"/>
        <v>324.31821671318039</v>
      </c>
      <c r="AS40" s="216">
        <f t="shared" si="8"/>
        <v>26836.775886280753</v>
      </c>
      <c r="AT40" s="429">
        <f t="shared" si="13"/>
        <v>26800</v>
      </c>
      <c r="AU40" s="443" t="s">
        <v>97</v>
      </c>
      <c r="AV40" s="20">
        <f t="shared" si="51"/>
        <v>0</v>
      </c>
    </row>
    <row r="41" spans="1:48" s="1" customFormat="1" ht="33" customHeight="1" x14ac:dyDescent="0.2">
      <c r="A41" s="651"/>
      <c r="B41" s="544">
        <v>37</v>
      </c>
      <c r="C41" s="598"/>
      <c r="D41" s="194" t="s">
        <v>431</v>
      </c>
      <c r="E41" s="195" t="s">
        <v>432</v>
      </c>
      <c r="F41" s="196" t="s">
        <v>107</v>
      </c>
      <c r="G41" s="197" t="s">
        <v>197</v>
      </c>
      <c r="H41" s="198">
        <v>44941862</v>
      </c>
      <c r="I41" s="198" t="s">
        <v>433</v>
      </c>
      <c r="J41" s="198" t="s">
        <v>241</v>
      </c>
      <c r="K41" s="198" t="s">
        <v>242</v>
      </c>
      <c r="L41" s="240">
        <v>25000</v>
      </c>
      <c r="M41" s="199">
        <v>113000</v>
      </c>
      <c r="N41" s="561" t="s">
        <v>731</v>
      </c>
      <c r="O41" s="239">
        <f t="shared" si="14"/>
        <v>125</v>
      </c>
      <c r="P41" s="201">
        <f t="shared" si="40"/>
        <v>0</v>
      </c>
      <c r="Q41" s="202">
        <v>0</v>
      </c>
      <c r="R41" s="203">
        <v>0</v>
      </c>
      <c r="S41" s="204">
        <v>0</v>
      </c>
      <c r="T41" s="205">
        <f t="shared" si="41"/>
        <v>125</v>
      </c>
      <c r="U41" s="202">
        <v>1</v>
      </c>
      <c r="V41" s="203">
        <v>40</v>
      </c>
      <c r="W41" s="204">
        <v>84</v>
      </c>
      <c r="X41" s="209">
        <f t="shared" si="42"/>
        <v>0</v>
      </c>
      <c r="Y41" s="203">
        <v>0</v>
      </c>
      <c r="Z41" s="201">
        <v>0</v>
      </c>
      <c r="AA41" s="208">
        <f t="shared" si="10"/>
        <v>113000</v>
      </c>
      <c r="AB41" s="209">
        <f t="shared" si="43"/>
        <v>67800</v>
      </c>
      <c r="AC41" s="203">
        <v>63000</v>
      </c>
      <c r="AD41" s="93">
        <f t="shared" si="18"/>
        <v>12</v>
      </c>
      <c r="AE41" s="210">
        <f t="shared" si="44"/>
        <v>1031.8336233325049</v>
      </c>
      <c r="AF41" s="211">
        <f t="shared" si="45"/>
        <v>12382.003479990059</v>
      </c>
      <c r="AG41" s="212">
        <f t="shared" si="46"/>
        <v>12</v>
      </c>
      <c r="AH41" s="212">
        <f t="shared" si="3"/>
        <v>166.93376068376071</v>
      </c>
      <c r="AI41" s="213">
        <f t="shared" si="20"/>
        <v>2003.2051282051284</v>
      </c>
      <c r="AJ41" s="214">
        <f t="shared" si="47"/>
        <v>0</v>
      </c>
      <c r="AK41" s="191">
        <f t="shared" si="5"/>
        <v>1831.5018315018315</v>
      </c>
      <c r="AL41" s="190">
        <f t="shared" si="11"/>
        <v>0</v>
      </c>
      <c r="AM41" s="211">
        <v>10000</v>
      </c>
      <c r="AN41" s="203">
        <v>0</v>
      </c>
      <c r="AO41" s="203">
        <f t="shared" si="21"/>
        <v>24385.208608195186</v>
      </c>
      <c r="AP41" s="211">
        <f t="shared" si="48"/>
        <v>24385.208608195186</v>
      </c>
      <c r="AQ41" s="215">
        <f t="shared" si="49"/>
        <v>12</v>
      </c>
      <c r="AR41" s="211">
        <f t="shared" si="50"/>
        <v>288.2828593006048</v>
      </c>
      <c r="AS41" s="216">
        <f t="shared" si="8"/>
        <v>24673.491467495791</v>
      </c>
      <c r="AT41" s="429">
        <f t="shared" si="13"/>
        <v>24700</v>
      </c>
      <c r="AU41" s="443" t="s">
        <v>107</v>
      </c>
      <c r="AV41" s="20">
        <f t="shared" si="51"/>
        <v>0</v>
      </c>
    </row>
    <row r="42" spans="1:48" s="1" customFormat="1" ht="41.25" customHeight="1" x14ac:dyDescent="0.2">
      <c r="A42" s="651"/>
      <c r="B42" s="544">
        <v>38</v>
      </c>
      <c r="C42" s="598"/>
      <c r="D42" s="194" t="s">
        <v>434</v>
      </c>
      <c r="E42" s="195" t="s">
        <v>435</v>
      </c>
      <c r="F42" s="196" t="s">
        <v>436</v>
      </c>
      <c r="G42" s="197" t="s">
        <v>197</v>
      </c>
      <c r="H42" s="198">
        <v>26557622</v>
      </c>
      <c r="I42" s="198" t="s">
        <v>437</v>
      </c>
      <c r="J42" s="198" t="s">
        <v>241</v>
      </c>
      <c r="K42" s="198" t="s">
        <v>242</v>
      </c>
      <c r="L42" s="240">
        <v>35000</v>
      </c>
      <c r="M42" s="199">
        <v>500000</v>
      </c>
      <c r="N42" s="561" t="s">
        <v>732</v>
      </c>
      <c r="O42" s="239">
        <f t="shared" si="14"/>
        <v>39</v>
      </c>
      <c r="P42" s="201">
        <f t="shared" si="40"/>
        <v>11</v>
      </c>
      <c r="Q42" s="202">
        <v>0</v>
      </c>
      <c r="R42" s="203">
        <v>0</v>
      </c>
      <c r="S42" s="204">
        <v>11</v>
      </c>
      <c r="T42" s="205">
        <f t="shared" si="41"/>
        <v>28</v>
      </c>
      <c r="U42" s="202">
        <v>0</v>
      </c>
      <c r="V42" s="203">
        <v>2</v>
      </c>
      <c r="W42" s="204">
        <v>26</v>
      </c>
      <c r="X42" s="209">
        <f t="shared" si="42"/>
        <v>0</v>
      </c>
      <c r="Y42" s="203">
        <v>0</v>
      </c>
      <c r="Z42" s="201">
        <v>0</v>
      </c>
      <c r="AA42" s="208">
        <f t="shared" si="10"/>
        <v>500000</v>
      </c>
      <c r="AB42" s="209">
        <f t="shared" si="43"/>
        <v>300000</v>
      </c>
      <c r="AC42" s="203">
        <v>550000</v>
      </c>
      <c r="AD42" s="93">
        <f t="shared" si="18"/>
        <v>6.1</v>
      </c>
      <c r="AE42" s="210">
        <f t="shared" si="44"/>
        <v>1031.8336233325049</v>
      </c>
      <c r="AF42" s="211">
        <f t="shared" si="45"/>
        <v>6294.1851023282798</v>
      </c>
      <c r="AG42" s="212">
        <f t="shared" si="46"/>
        <v>0.6</v>
      </c>
      <c r="AH42" s="212">
        <f t="shared" si="3"/>
        <v>166.93376068376071</v>
      </c>
      <c r="AI42" s="213">
        <f t="shared" si="20"/>
        <v>100.16025641025642</v>
      </c>
      <c r="AJ42" s="214">
        <f t="shared" si="47"/>
        <v>0</v>
      </c>
      <c r="AK42" s="191">
        <f t="shared" si="5"/>
        <v>1831.5018315018315</v>
      </c>
      <c r="AL42" s="190">
        <f t="shared" si="11"/>
        <v>0</v>
      </c>
      <c r="AM42" s="211">
        <v>10000</v>
      </c>
      <c r="AN42" s="203">
        <v>0</v>
      </c>
      <c r="AO42" s="203">
        <f t="shared" si="21"/>
        <v>16394.345358738537</v>
      </c>
      <c r="AP42" s="211">
        <f t="shared" si="48"/>
        <v>16394.345358738537</v>
      </c>
      <c r="AQ42" s="215">
        <f t="shared" si="49"/>
        <v>6.1</v>
      </c>
      <c r="AR42" s="211">
        <f t="shared" si="50"/>
        <v>146.54378681114076</v>
      </c>
      <c r="AS42" s="216">
        <f t="shared" si="8"/>
        <v>16540.889145549678</v>
      </c>
      <c r="AT42" s="429">
        <f t="shared" si="13"/>
        <v>16500</v>
      </c>
      <c r="AU42" s="443" t="s">
        <v>436</v>
      </c>
      <c r="AV42" s="20">
        <f t="shared" si="51"/>
        <v>0</v>
      </c>
    </row>
    <row r="43" spans="1:48" s="1" customFormat="1" ht="41.25" customHeight="1" x14ac:dyDescent="0.2">
      <c r="A43" s="651"/>
      <c r="B43" s="544">
        <v>39</v>
      </c>
      <c r="C43" s="598"/>
      <c r="D43" s="194" t="s">
        <v>438</v>
      </c>
      <c r="E43" s="195" t="s">
        <v>439</v>
      </c>
      <c r="F43" s="196" t="s">
        <v>84</v>
      </c>
      <c r="G43" s="197" t="s">
        <v>197</v>
      </c>
      <c r="H43" s="198">
        <v>68941455</v>
      </c>
      <c r="I43" s="198" t="s">
        <v>274</v>
      </c>
      <c r="J43" s="198" t="s">
        <v>440</v>
      </c>
      <c r="K43" s="198" t="s">
        <v>441</v>
      </c>
      <c r="L43" s="240">
        <v>400000</v>
      </c>
      <c r="M43" s="199">
        <v>680000</v>
      </c>
      <c r="N43" s="561" t="s">
        <v>733</v>
      </c>
      <c r="O43" s="239">
        <f t="shared" si="14"/>
        <v>822</v>
      </c>
      <c r="P43" s="201">
        <f t="shared" si="40"/>
        <v>91</v>
      </c>
      <c r="Q43" s="202">
        <v>0</v>
      </c>
      <c r="R43" s="203">
        <v>90</v>
      </c>
      <c r="S43" s="204">
        <v>1</v>
      </c>
      <c r="T43" s="205">
        <f t="shared" si="41"/>
        <v>731</v>
      </c>
      <c r="U43" s="202">
        <v>213</v>
      </c>
      <c r="V43" s="203">
        <v>500</v>
      </c>
      <c r="W43" s="204">
        <v>18</v>
      </c>
      <c r="X43" s="209">
        <f t="shared" si="42"/>
        <v>19</v>
      </c>
      <c r="Y43" s="203">
        <v>19</v>
      </c>
      <c r="Z43" s="201">
        <v>0</v>
      </c>
      <c r="AA43" s="208">
        <f t="shared" si="10"/>
        <v>680000</v>
      </c>
      <c r="AB43" s="209">
        <f t="shared" si="43"/>
        <v>408000</v>
      </c>
      <c r="AC43" s="203">
        <v>1581000</v>
      </c>
      <c r="AD43" s="93">
        <f t="shared" si="18"/>
        <v>240.5</v>
      </c>
      <c r="AE43" s="210">
        <f t="shared" si="44"/>
        <v>1031.8336233325049</v>
      </c>
      <c r="AF43" s="211">
        <f t="shared" si="45"/>
        <v>248155.98641146743</v>
      </c>
      <c r="AG43" s="212">
        <f t="shared" si="46"/>
        <v>240</v>
      </c>
      <c r="AH43" s="212">
        <f t="shared" si="3"/>
        <v>166.93376068376071</v>
      </c>
      <c r="AI43" s="213">
        <f t="shared" si="20"/>
        <v>40064.10256410257</v>
      </c>
      <c r="AJ43" s="214">
        <f t="shared" si="47"/>
        <v>19</v>
      </c>
      <c r="AK43" s="191">
        <f t="shared" si="5"/>
        <v>1831.5018315018315</v>
      </c>
      <c r="AL43" s="190">
        <f t="shared" si="11"/>
        <v>34798.534798534798</v>
      </c>
      <c r="AM43" s="211">
        <v>10000</v>
      </c>
      <c r="AN43" s="203">
        <v>0</v>
      </c>
      <c r="AO43" s="203">
        <f t="shared" si="21"/>
        <v>333018.62377410481</v>
      </c>
      <c r="AP43" s="211">
        <f t="shared" si="48"/>
        <v>333018.62377410481</v>
      </c>
      <c r="AQ43" s="215">
        <f t="shared" si="49"/>
        <v>240.5</v>
      </c>
      <c r="AR43" s="211">
        <f t="shared" si="50"/>
        <v>5777.6689718162879</v>
      </c>
      <c r="AS43" s="216">
        <f t="shared" si="8"/>
        <v>338796.29274592112</v>
      </c>
      <c r="AT43" s="429">
        <f t="shared" si="13"/>
        <v>338800</v>
      </c>
      <c r="AU43" s="443" t="s">
        <v>84</v>
      </c>
      <c r="AV43" s="20">
        <f t="shared" si="51"/>
        <v>0</v>
      </c>
    </row>
    <row r="44" spans="1:48" s="1" customFormat="1" ht="33" customHeight="1" x14ac:dyDescent="0.2">
      <c r="A44" s="651"/>
      <c r="B44" s="544">
        <v>40</v>
      </c>
      <c r="C44" s="598"/>
      <c r="D44" s="194" t="s">
        <v>442</v>
      </c>
      <c r="E44" s="195" t="s">
        <v>443</v>
      </c>
      <c r="F44" s="196" t="s">
        <v>69</v>
      </c>
      <c r="G44" s="197" t="s">
        <v>197</v>
      </c>
      <c r="H44" s="198" t="s">
        <v>68</v>
      </c>
      <c r="I44" s="198" t="s">
        <v>240</v>
      </c>
      <c r="J44" s="198" t="s">
        <v>241</v>
      </c>
      <c r="K44" s="198" t="s">
        <v>242</v>
      </c>
      <c r="L44" s="240">
        <v>130000</v>
      </c>
      <c r="M44" s="199">
        <v>505000</v>
      </c>
      <c r="N44" s="561" t="s">
        <v>734</v>
      </c>
      <c r="O44" s="239">
        <f t="shared" si="14"/>
        <v>138</v>
      </c>
      <c r="P44" s="201">
        <f t="shared" si="40"/>
        <v>77</v>
      </c>
      <c r="Q44" s="202">
        <v>0</v>
      </c>
      <c r="R44" s="203">
        <v>54</v>
      </c>
      <c r="S44" s="204">
        <v>23</v>
      </c>
      <c r="T44" s="205">
        <f t="shared" si="41"/>
        <v>61</v>
      </c>
      <c r="U44" s="202">
        <v>2</v>
      </c>
      <c r="V44" s="203">
        <v>26</v>
      </c>
      <c r="W44" s="204">
        <v>33</v>
      </c>
      <c r="X44" s="209">
        <f t="shared" si="42"/>
        <v>10</v>
      </c>
      <c r="Y44" s="203">
        <v>10</v>
      </c>
      <c r="Z44" s="201">
        <v>0</v>
      </c>
      <c r="AA44" s="208">
        <f t="shared" si="10"/>
        <v>505000</v>
      </c>
      <c r="AB44" s="209">
        <f t="shared" si="43"/>
        <v>303000</v>
      </c>
      <c r="AC44" s="203">
        <v>149000</v>
      </c>
      <c r="AD44" s="93">
        <f t="shared" si="18"/>
        <v>73.3</v>
      </c>
      <c r="AE44" s="210">
        <f t="shared" si="44"/>
        <v>1031.8336233325049</v>
      </c>
      <c r="AF44" s="211">
        <f t="shared" si="45"/>
        <v>75633.404590272607</v>
      </c>
      <c r="AG44" s="212">
        <f t="shared" si="46"/>
        <v>61.8</v>
      </c>
      <c r="AH44" s="212">
        <f t="shared" si="3"/>
        <v>166.93376068376071</v>
      </c>
      <c r="AI44" s="213">
        <f t="shared" si="20"/>
        <v>10316.506410256412</v>
      </c>
      <c r="AJ44" s="214">
        <f t="shared" si="47"/>
        <v>10</v>
      </c>
      <c r="AK44" s="191">
        <f t="shared" si="5"/>
        <v>1831.5018315018315</v>
      </c>
      <c r="AL44" s="190">
        <f t="shared" si="11"/>
        <v>18315.018315018315</v>
      </c>
      <c r="AM44" s="211">
        <v>10000</v>
      </c>
      <c r="AN44" s="203">
        <v>0</v>
      </c>
      <c r="AO44" s="203">
        <f t="shared" si="21"/>
        <v>114264.92931554733</v>
      </c>
      <c r="AP44" s="211">
        <f t="shared" si="48"/>
        <v>114264.92931554733</v>
      </c>
      <c r="AQ44" s="215">
        <f t="shared" si="49"/>
        <v>73.3</v>
      </c>
      <c r="AR44" s="211">
        <f t="shared" si="50"/>
        <v>1760.9277988945275</v>
      </c>
      <c r="AS44" s="216">
        <f t="shared" si="8"/>
        <v>116025.85711444185</v>
      </c>
      <c r="AT44" s="429">
        <f t="shared" si="13"/>
        <v>116000</v>
      </c>
      <c r="AU44" s="443" t="s">
        <v>69</v>
      </c>
      <c r="AV44" s="20">
        <f t="shared" si="51"/>
        <v>0</v>
      </c>
    </row>
    <row r="45" spans="1:48" s="1" customFormat="1" ht="38.25" customHeight="1" x14ac:dyDescent="0.2">
      <c r="A45" s="651"/>
      <c r="B45" s="544">
        <v>41</v>
      </c>
      <c r="C45" s="598"/>
      <c r="D45" s="194" t="s">
        <v>444</v>
      </c>
      <c r="E45" s="195" t="s">
        <v>445</v>
      </c>
      <c r="F45" s="196" t="s">
        <v>67</v>
      </c>
      <c r="G45" s="197" t="s">
        <v>197</v>
      </c>
      <c r="H45" s="198">
        <v>47812061</v>
      </c>
      <c r="I45" s="198" t="s">
        <v>253</v>
      </c>
      <c r="J45" s="198" t="s">
        <v>241</v>
      </c>
      <c r="K45" s="198" t="s">
        <v>242</v>
      </c>
      <c r="L45" s="240">
        <v>17000</v>
      </c>
      <c r="M45" s="199">
        <v>51000</v>
      </c>
      <c r="N45" s="561" t="s">
        <v>735</v>
      </c>
      <c r="O45" s="239">
        <f t="shared" si="14"/>
        <v>17</v>
      </c>
      <c r="P45" s="201">
        <f t="shared" si="40"/>
        <v>2</v>
      </c>
      <c r="Q45" s="202">
        <v>0</v>
      </c>
      <c r="R45" s="203">
        <v>0</v>
      </c>
      <c r="S45" s="204">
        <v>2</v>
      </c>
      <c r="T45" s="205">
        <f t="shared" si="41"/>
        <v>15</v>
      </c>
      <c r="U45" s="202">
        <v>1</v>
      </c>
      <c r="V45" s="203">
        <v>1</v>
      </c>
      <c r="W45" s="204">
        <v>13</v>
      </c>
      <c r="X45" s="209">
        <f t="shared" si="42"/>
        <v>0</v>
      </c>
      <c r="Y45" s="203">
        <v>0</v>
      </c>
      <c r="Z45" s="201">
        <v>0</v>
      </c>
      <c r="AA45" s="208">
        <f t="shared" si="10"/>
        <v>51000</v>
      </c>
      <c r="AB45" s="209">
        <f t="shared" si="43"/>
        <v>30600</v>
      </c>
      <c r="AC45" s="203">
        <v>40000</v>
      </c>
      <c r="AD45" s="93">
        <f t="shared" si="18"/>
        <v>1.3</v>
      </c>
      <c r="AE45" s="210">
        <f t="shared" si="44"/>
        <v>1031.8336233325049</v>
      </c>
      <c r="AF45" s="211">
        <f t="shared" si="45"/>
        <v>1341.3837103322564</v>
      </c>
      <c r="AG45" s="212">
        <f t="shared" si="46"/>
        <v>0.3</v>
      </c>
      <c r="AH45" s="212">
        <f t="shared" si="3"/>
        <v>166.93376068376071</v>
      </c>
      <c r="AI45" s="213">
        <f t="shared" si="20"/>
        <v>50.080128205128212</v>
      </c>
      <c r="AJ45" s="214">
        <f t="shared" si="47"/>
        <v>0</v>
      </c>
      <c r="AK45" s="191">
        <f t="shared" si="5"/>
        <v>1831.5018315018315</v>
      </c>
      <c r="AL45" s="190">
        <f t="shared" si="11"/>
        <v>0</v>
      </c>
      <c r="AM45" s="211">
        <v>10000</v>
      </c>
      <c r="AN45" s="203">
        <v>0</v>
      </c>
      <c r="AO45" s="203">
        <f t="shared" si="21"/>
        <v>11391.463838537384</v>
      </c>
      <c r="AP45" s="211">
        <f t="shared" si="48"/>
        <v>11391.463838537384</v>
      </c>
      <c r="AQ45" s="215">
        <f t="shared" si="49"/>
        <v>1.3</v>
      </c>
      <c r="AR45" s="211">
        <f t="shared" si="50"/>
        <v>31.230643090898855</v>
      </c>
      <c r="AS45" s="216">
        <f t="shared" si="8"/>
        <v>11422.694481628283</v>
      </c>
      <c r="AT45" s="429">
        <f t="shared" si="13"/>
        <v>11400</v>
      </c>
      <c r="AU45" s="443" t="s">
        <v>67</v>
      </c>
      <c r="AV45" s="20">
        <f t="shared" si="51"/>
        <v>0</v>
      </c>
    </row>
    <row r="46" spans="1:48" s="1" customFormat="1" ht="33" customHeight="1" x14ac:dyDescent="0.2">
      <c r="A46" s="651"/>
      <c r="B46" s="544">
        <v>42</v>
      </c>
      <c r="C46" s="598"/>
      <c r="D46" s="194" t="s">
        <v>446</v>
      </c>
      <c r="E46" s="195" t="s">
        <v>447</v>
      </c>
      <c r="F46" s="196" t="s">
        <v>88</v>
      </c>
      <c r="G46" s="197" t="s">
        <v>197</v>
      </c>
      <c r="H46" s="198">
        <v>44941994</v>
      </c>
      <c r="I46" s="198" t="s">
        <v>448</v>
      </c>
      <c r="J46" s="198" t="s">
        <v>449</v>
      </c>
      <c r="K46" s="198" t="s">
        <v>450</v>
      </c>
      <c r="L46" s="240">
        <v>170000</v>
      </c>
      <c r="M46" s="199">
        <v>1480000</v>
      </c>
      <c r="N46" s="561" t="s">
        <v>736</v>
      </c>
      <c r="O46" s="239">
        <f t="shared" si="14"/>
        <v>252</v>
      </c>
      <c r="P46" s="201">
        <f t="shared" si="40"/>
        <v>77</v>
      </c>
      <c r="Q46" s="202">
        <v>0</v>
      </c>
      <c r="R46" s="203">
        <v>56</v>
      </c>
      <c r="S46" s="204">
        <v>21</v>
      </c>
      <c r="T46" s="205">
        <f t="shared" si="41"/>
        <v>175</v>
      </c>
      <c r="U46" s="202">
        <v>0</v>
      </c>
      <c r="V46" s="203">
        <v>107</v>
      </c>
      <c r="W46" s="204">
        <v>68</v>
      </c>
      <c r="X46" s="209">
        <f t="shared" si="42"/>
        <v>16</v>
      </c>
      <c r="Y46" s="203">
        <v>16</v>
      </c>
      <c r="Z46" s="201">
        <v>0</v>
      </c>
      <c r="AA46" s="208">
        <f t="shared" si="10"/>
        <v>1480000</v>
      </c>
      <c r="AB46" s="209">
        <f t="shared" si="43"/>
        <v>888000</v>
      </c>
      <c r="AC46" s="203">
        <v>92000</v>
      </c>
      <c r="AD46" s="93">
        <f t="shared" si="18"/>
        <v>98.6</v>
      </c>
      <c r="AE46" s="210">
        <f t="shared" si="44"/>
        <v>1031.8336233325049</v>
      </c>
      <c r="AF46" s="211">
        <f t="shared" si="45"/>
        <v>101738.79526058497</v>
      </c>
      <c r="AG46" s="212">
        <f t="shared" si="46"/>
        <v>88.1</v>
      </c>
      <c r="AH46" s="212">
        <f t="shared" si="3"/>
        <v>166.93376068376071</v>
      </c>
      <c r="AI46" s="213">
        <f t="shared" si="20"/>
        <v>14706.864316239318</v>
      </c>
      <c r="AJ46" s="214">
        <f t="shared" si="47"/>
        <v>16</v>
      </c>
      <c r="AK46" s="191">
        <f t="shared" si="5"/>
        <v>1831.5018315018315</v>
      </c>
      <c r="AL46" s="190">
        <f t="shared" si="11"/>
        <v>29304.029304029304</v>
      </c>
      <c r="AM46" s="211">
        <v>10000</v>
      </c>
      <c r="AN46" s="203">
        <v>0</v>
      </c>
      <c r="AO46" s="203">
        <f t="shared" si="21"/>
        <v>155749.68888085359</v>
      </c>
      <c r="AP46" s="211">
        <f t="shared" si="48"/>
        <v>155749.68888085359</v>
      </c>
      <c r="AQ46" s="215">
        <f t="shared" si="49"/>
        <v>98.6</v>
      </c>
      <c r="AR46" s="211">
        <f t="shared" si="50"/>
        <v>2368.7241605866361</v>
      </c>
      <c r="AS46" s="216">
        <f t="shared" si="8"/>
        <v>158118.41304144022</v>
      </c>
      <c r="AT46" s="429">
        <f t="shared" si="13"/>
        <v>158100</v>
      </c>
      <c r="AU46" s="443" t="s">
        <v>88</v>
      </c>
      <c r="AV46" s="20">
        <f t="shared" si="51"/>
        <v>0</v>
      </c>
    </row>
    <row r="47" spans="1:48" s="1" customFormat="1" ht="39" customHeight="1" x14ac:dyDescent="0.2">
      <c r="A47" s="651"/>
      <c r="B47" s="544">
        <v>43</v>
      </c>
      <c r="C47" s="598"/>
      <c r="D47" s="194" t="s">
        <v>451</v>
      </c>
      <c r="E47" s="195" t="s">
        <v>452</v>
      </c>
      <c r="F47" s="196" t="s">
        <v>87</v>
      </c>
      <c r="G47" s="197" t="s">
        <v>197</v>
      </c>
      <c r="H47" s="198">
        <v>14615681</v>
      </c>
      <c r="I47" s="198" t="s">
        <v>453</v>
      </c>
      <c r="J47" s="198" t="s">
        <v>241</v>
      </c>
      <c r="K47" s="198" t="s">
        <v>242</v>
      </c>
      <c r="L47" s="240">
        <v>60000</v>
      </c>
      <c r="M47" s="199">
        <v>325000</v>
      </c>
      <c r="N47" s="561" t="s">
        <v>737</v>
      </c>
      <c r="O47" s="239">
        <f t="shared" si="14"/>
        <v>68</v>
      </c>
      <c r="P47" s="201">
        <f t="shared" si="40"/>
        <v>36</v>
      </c>
      <c r="Q47" s="202">
        <v>0</v>
      </c>
      <c r="R47" s="203">
        <v>15</v>
      </c>
      <c r="S47" s="204">
        <v>21</v>
      </c>
      <c r="T47" s="205">
        <f t="shared" si="41"/>
        <v>32</v>
      </c>
      <c r="U47" s="202">
        <v>1</v>
      </c>
      <c r="V47" s="203">
        <v>23</v>
      </c>
      <c r="W47" s="204">
        <v>8</v>
      </c>
      <c r="X47" s="209">
        <f t="shared" si="42"/>
        <v>5</v>
      </c>
      <c r="Y47" s="203">
        <v>5</v>
      </c>
      <c r="Z47" s="201">
        <v>0</v>
      </c>
      <c r="AA47" s="208">
        <f t="shared" si="10"/>
        <v>325000</v>
      </c>
      <c r="AB47" s="209">
        <f t="shared" si="43"/>
        <v>195000</v>
      </c>
      <c r="AC47" s="203">
        <v>25000</v>
      </c>
      <c r="AD47" s="93">
        <f t="shared" si="18"/>
        <v>32.4</v>
      </c>
      <c r="AE47" s="210">
        <f t="shared" si="44"/>
        <v>1031.8336233325049</v>
      </c>
      <c r="AF47" s="211">
        <f t="shared" si="45"/>
        <v>33431.409395973154</v>
      </c>
      <c r="AG47" s="212">
        <f t="shared" si="46"/>
        <v>21.9</v>
      </c>
      <c r="AH47" s="212">
        <f t="shared" si="3"/>
        <v>166.93376068376071</v>
      </c>
      <c r="AI47" s="213">
        <f t="shared" si="20"/>
        <v>3655.8493589743593</v>
      </c>
      <c r="AJ47" s="214">
        <f t="shared" si="47"/>
        <v>5</v>
      </c>
      <c r="AK47" s="191">
        <f t="shared" si="5"/>
        <v>1831.5018315018315</v>
      </c>
      <c r="AL47" s="190">
        <f t="shared" si="11"/>
        <v>9157.5091575091574</v>
      </c>
      <c r="AM47" s="211">
        <v>10000</v>
      </c>
      <c r="AN47" s="203">
        <v>0</v>
      </c>
      <c r="AO47" s="203">
        <f t="shared" si="21"/>
        <v>56244.767912456671</v>
      </c>
      <c r="AP47" s="211">
        <f t="shared" si="48"/>
        <v>56244.767912456671</v>
      </c>
      <c r="AQ47" s="215">
        <f t="shared" si="49"/>
        <v>32.4</v>
      </c>
      <c r="AR47" s="211">
        <f t="shared" si="50"/>
        <v>778.36372011163292</v>
      </c>
      <c r="AS47" s="216">
        <f t="shared" si="8"/>
        <v>57023.131632568307</v>
      </c>
      <c r="AT47" s="429">
        <f t="shared" si="13"/>
        <v>57000</v>
      </c>
      <c r="AU47" s="443" t="s">
        <v>87</v>
      </c>
      <c r="AV47" s="20">
        <f t="shared" si="51"/>
        <v>0</v>
      </c>
    </row>
    <row r="48" spans="1:48" s="1" customFormat="1" ht="39" customHeight="1" x14ac:dyDescent="0.2">
      <c r="A48" s="651"/>
      <c r="B48" s="544">
        <v>44</v>
      </c>
      <c r="C48" s="598"/>
      <c r="D48" s="194" t="s">
        <v>454</v>
      </c>
      <c r="E48" s="195" t="s">
        <v>455</v>
      </c>
      <c r="F48" s="196" t="s">
        <v>63</v>
      </c>
      <c r="G48" s="197" t="s">
        <v>197</v>
      </c>
      <c r="H48" s="198">
        <v>47810190</v>
      </c>
      <c r="I48" s="198" t="s">
        <v>456</v>
      </c>
      <c r="J48" s="198" t="s">
        <v>241</v>
      </c>
      <c r="K48" s="198" t="s">
        <v>242</v>
      </c>
      <c r="L48" s="240">
        <v>30000</v>
      </c>
      <c r="M48" s="199">
        <v>138000</v>
      </c>
      <c r="N48" s="561" t="s">
        <v>738</v>
      </c>
      <c r="O48" s="239">
        <f t="shared" si="14"/>
        <v>86</v>
      </c>
      <c r="P48" s="201">
        <f t="shared" si="40"/>
        <v>32</v>
      </c>
      <c r="Q48" s="202">
        <v>0</v>
      </c>
      <c r="R48" s="203">
        <v>1</v>
      </c>
      <c r="S48" s="204">
        <v>31</v>
      </c>
      <c r="T48" s="205">
        <f t="shared" si="41"/>
        <v>54</v>
      </c>
      <c r="U48" s="202">
        <v>0</v>
      </c>
      <c r="V48" s="203">
        <v>1</v>
      </c>
      <c r="W48" s="204">
        <v>53</v>
      </c>
      <c r="X48" s="209">
        <f t="shared" si="42"/>
        <v>1</v>
      </c>
      <c r="Y48" s="203">
        <v>1</v>
      </c>
      <c r="Z48" s="201">
        <v>0</v>
      </c>
      <c r="AA48" s="208">
        <f t="shared" si="10"/>
        <v>138000</v>
      </c>
      <c r="AB48" s="209">
        <f t="shared" si="43"/>
        <v>82800</v>
      </c>
      <c r="AC48" s="203">
        <v>13000</v>
      </c>
      <c r="AD48" s="93">
        <f t="shared" si="18"/>
        <v>16.8</v>
      </c>
      <c r="AE48" s="210">
        <f t="shared" si="44"/>
        <v>1031.8336233325049</v>
      </c>
      <c r="AF48" s="211">
        <f t="shared" si="45"/>
        <v>17334.804871986082</v>
      </c>
      <c r="AG48" s="212">
        <f t="shared" si="46"/>
        <v>1.3</v>
      </c>
      <c r="AH48" s="212">
        <f t="shared" si="3"/>
        <v>166.93376068376071</v>
      </c>
      <c r="AI48" s="213">
        <f t="shared" si="20"/>
        <v>217.01388888888894</v>
      </c>
      <c r="AJ48" s="214">
        <f t="shared" si="47"/>
        <v>1</v>
      </c>
      <c r="AK48" s="191">
        <f t="shared" si="5"/>
        <v>1831.5018315018315</v>
      </c>
      <c r="AL48" s="190">
        <f t="shared" si="11"/>
        <v>1831.5018315018315</v>
      </c>
      <c r="AM48" s="211">
        <v>10000</v>
      </c>
      <c r="AN48" s="203">
        <v>0</v>
      </c>
      <c r="AO48" s="203">
        <f t="shared" si="21"/>
        <v>29383.320592376804</v>
      </c>
      <c r="AP48" s="211">
        <f t="shared" si="48"/>
        <v>29383.320592376804</v>
      </c>
      <c r="AQ48" s="215">
        <f t="shared" si="49"/>
        <v>16.8</v>
      </c>
      <c r="AR48" s="211">
        <f t="shared" si="50"/>
        <v>403.59600302084675</v>
      </c>
      <c r="AS48" s="216">
        <f t="shared" si="8"/>
        <v>29786.916595397652</v>
      </c>
      <c r="AT48" s="429">
        <f t="shared" si="13"/>
        <v>29800</v>
      </c>
      <c r="AU48" s="443" t="s">
        <v>63</v>
      </c>
      <c r="AV48" s="20">
        <f t="shared" si="51"/>
        <v>0</v>
      </c>
    </row>
    <row r="49" spans="1:48" s="1" customFormat="1" ht="33" customHeight="1" x14ac:dyDescent="0.2">
      <c r="A49" s="651"/>
      <c r="B49" s="544">
        <v>45</v>
      </c>
      <c r="C49" s="598"/>
      <c r="D49" s="194" t="s">
        <v>457</v>
      </c>
      <c r="E49" s="195" t="s">
        <v>458</v>
      </c>
      <c r="F49" s="196" t="s">
        <v>81</v>
      </c>
      <c r="G49" s="197" t="s">
        <v>197</v>
      </c>
      <c r="H49" s="198">
        <v>68941463</v>
      </c>
      <c r="I49" s="198" t="s">
        <v>459</v>
      </c>
      <c r="J49" s="198" t="s">
        <v>241</v>
      </c>
      <c r="K49" s="198" t="s">
        <v>242</v>
      </c>
      <c r="L49" s="240">
        <v>50000</v>
      </c>
      <c r="M49" s="199">
        <v>600000</v>
      </c>
      <c r="N49" s="561" t="s">
        <v>739</v>
      </c>
      <c r="O49" s="239">
        <f t="shared" si="14"/>
        <v>112</v>
      </c>
      <c r="P49" s="201">
        <f t="shared" si="40"/>
        <v>7</v>
      </c>
      <c r="Q49" s="202">
        <v>0</v>
      </c>
      <c r="R49" s="203">
        <v>2</v>
      </c>
      <c r="S49" s="204">
        <v>5</v>
      </c>
      <c r="T49" s="205">
        <f t="shared" si="41"/>
        <v>105</v>
      </c>
      <c r="U49" s="202">
        <v>0</v>
      </c>
      <c r="V49" s="203">
        <v>98</v>
      </c>
      <c r="W49" s="204">
        <v>7</v>
      </c>
      <c r="X49" s="209">
        <f t="shared" si="42"/>
        <v>0</v>
      </c>
      <c r="Y49" s="203">
        <v>0</v>
      </c>
      <c r="Z49" s="201">
        <v>0</v>
      </c>
      <c r="AA49" s="208">
        <f t="shared" si="10"/>
        <v>600000</v>
      </c>
      <c r="AB49" s="209">
        <f t="shared" si="43"/>
        <v>360000</v>
      </c>
      <c r="AC49" s="203">
        <v>352000</v>
      </c>
      <c r="AD49" s="93">
        <f t="shared" si="18"/>
        <v>33.9</v>
      </c>
      <c r="AE49" s="210">
        <f t="shared" si="44"/>
        <v>1031.8336233325049</v>
      </c>
      <c r="AF49" s="211">
        <f t="shared" si="45"/>
        <v>34979.159830971912</v>
      </c>
      <c r="AG49" s="212">
        <f t="shared" si="46"/>
        <v>31.4</v>
      </c>
      <c r="AH49" s="212">
        <f t="shared" si="3"/>
        <v>166.93376068376071</v>
      </c>
      <c r="AI49" s="213">
        <f t="shared" si="20"/>
        <v>5241.7200854700859</v>
      </c>
      <c r="AJ49" s="214">
        <f t="shared" si="47"/>
        <v>0</v>
      </c>
      <c r="AK49" s="191">
        <f t="shared" si="5"/>
        <v>1831.5018315018315</v>
      </c>
      <c r="AL49" s="190">
        <f t="shared" si="11"/>
        <v>0</v>
      </c>
      <c r="AM49" s="211">
        <v>10000</v>
      </c>
      <c r="AN49" s="203">
        <v>0</v>
      </c>
      <c r="AO49" s="203">
        <f t="shared" si="21"/>
        <v>50220.879916441998</v>
      </c>
      <c r="AP49" s="211">
        <f t="shared" si="48"/>
        <v>50220.879916441998</v>
      </c>
      <c r="AQ49" s="215">
        <f t="shared" si="49"/>
        <v>33.9</v>
      </c>
      <c r="AR49" s="211">
        <f t="shared" si="50"/>
        <v>814.39907752420856</v>
      </c>
      <c r="AS49" s="216">
        <f t="shared" si="8"/>
        <v>51035.278993966203</v>
      </c>
      <c r="AT49" s="429">
        <f t="shared" si="13"/>
        <v>51000</v>
      </c>
      <c r="AU49" s="443" t="s">
        <v>81</v>
      </c>
      <c r="AV49" s="20">
        <f t="shared" si="51"/>
        <v>0</v>
      </c>
    </row>
    <row r="50" spans="1:48" s="1" customFormat="1" ht="43.5" customHeight="1" x14ac:dyDescent="0.2">
      <c r="A50" s="651"/>
      <c r="B50" s="544">
        <v>46</v>
      </c>
      <c r="C50" s="598"/>
      <c r="D50" s="194" t="s">
        <v>465</v>
      </c>
      <c r="E50" s="195" t="s">
        <v>466</v>
      </c>
      <c r="F50" s="196" t="s">
        <v>120</v>
      </c>
      <c r="G50" s="197" t="s">
        <v>197</v>
      </c>
      <c r="H50" s="198">
        <v>27002802</v>
      </c>
      <c r="I50" s="198" t="s">
        <v>467</v>
      </c>
      <c r="J50" s="198" t="s">
        <v>241</v>
      </c>
      <c r="K50" s="198" t="s">
        <v>242</v>
      </c>
      <c r="L50" s="240">
        <v>14000</v>
      </c>
      <c r="M50" s="199">
        <v>38000</v>
      </c>
      <c r="N50" s="561" t="s">
        <v>740</v>
      </c>
      <c r="O50" s="239">
        <f t="shared" si="14"/>
        <v>415</v>
      </c>
      <c r="P50" s="201">
        <f t="shared" si="40"/>
        <v>0</v>
      </c>
      <c r="Q50" s="202">
        <v>0</v>
      </c>
      <c r="R50" s="203">
        <v>0</v>
      </c>
      <c r="S50" s="204">
        <v>0</v>
      </c>
      <c r="T50" s="205">
        <f t="shared" si="41"/>
        <v>415</v>
      </c>
      <c r="U50" s="202">
        <v>0</v>
      </c>
      <c r="V50" s="203">
        <v>1</v>
      </c>
      <c r="W50" s="204">
        <v>414</v>
      </c>
      <c r="X50" s="209">
        <f t="shared" si="42"/>
        <v>0</v>
      </c>
      <c r="Y50" s="203">
        <v>0</v>
      </c>
      <c r="Z50" s="201">
        <v>0</v>
      </c>
      <c r="AA50" s="208">
        <f t="shared" si="10"/>
        <v>38000</v>
      </c>
      <c r="AB50" s="209">
        <f t="shared" si="43"/>
        <v>22800</v>
      </c>
      <c r="AC50" s="203">
        <v>16000</v>
      </c>
      <c r="AD50" s="93">
        <f t="shared" si="18"/>
        <v>0.3</v>
      </c>
      <c r="AE50" s="210">
        <f t="shared" si="44"/>
        <v>1031.8336233325049</v>
      </c>
      <c r="AF50" s="211">
        <f t="shared" si="45"/>
        <v>309.55008699975144</v>
      </c>
      <c r="AG50" s="212">
        <f t="shared" si="46"/>
        <v>0.3</v>
      </c>
      <c r="AH50" s="212">
        <f t="shared" si="3"/>
        <v>166.93376068376071</v>
      </c>
      <c r="AI50" s="213">
        <f t="shared" si="20"/>
        <v>50.080128205128212</v>
      </c>
      <c r="AJ50" s="214">
        <f t="shared" si="47"/>
        <v>0</v>
      </c>
      <c r="AK50" s="191">
        <f t="shared" si="5"/>
        <v>1831.5018315018315</v>
      </c>
      <c r="AL50" s="190">
        <f t="shared" si="11"/>
        <v>0</v>
      </c>
      <c r="AM50" s="211">
        <v>10000</v>
      </c>
      <c r="AN50" s="203">
        <v>0</v>
      </c>
      <c r="AO50" s="203">
        <f t="shared" si="21"/>
        <v>10359.630215204879</v>
      </c>
      <c r="AP50" s="211">
        <f t="shared" si="48"/>
        <v>10359.630215204879</v>
      </c>
      <c r="AQ50" s="215">
        <f t="shared" si="49"/>
        <v>0.3</v>
      </c>
      <c r="AR50" s="211">
        <f t="shared" si="50"/>
        <v>7.2070714825151194</v>
      </c>
      <c r="AS50" s="216">
        <f t="shared" si="8"/>
        <v>10366.837286687394</v>
      </c>
      <c r="AT50" s="429">
        <f t="shared" si="13"/>
        <v>10400</v>
      </c>
      <c r="AU50" s="443" t="s">
        <v>120</v>
      </c>
      <c r="AV50" s="20">
        <f t="shared" si="51"/>
        <v>0</v>
      </c>
    </row>
    <row r="51" spans="1:48" s="1" customFormat="1" ht="33" customHeight="1" x14ac:dyDescent="0.2">
      <c r="A51" s="651"/>
      <c r="B51" s="544">
        <v>47</v>
      </c>
      <c r="C51" s="598"/>
      <c r="D51" s="194" t="s">
        <v>474</v>
      </c>
      <c r="E51" s="195" t="s">
        <v>475</v>
      </c>
      <c r="F51" s="196" t="s">
        <v>476</v>
      </c>
      <c r="G51" s="197" t="s">
        <v>197</v>
      </c>
      <c r="H51" s="198" t="s">
        <v>61</v>
      </c>
      <c r="I51" s="198" t="s">
        <v>477</v>
      </c>
      <c r="J51" s="198" t="s">
        <v>241</v>
      </c>
      <c r="K51" s="198" t="s">
        <v>242</v>
      </c>
      <c r="L51" s="240">
        <v>55000</v>
      </c>
      <c r="M51" s="199">
        <v>405000</v>
      </c>
      <c r="N51" s="561" t="s">
        <v>741</v>
      </c>
      <c r="O51" s="239">
        <f t="shared" si="14"/>
        <v>72</v>
      </c>
      <c r="P51" s="201">
        <f t="shared" si="40"/>
        <v>9</v>
      </c>
      <c r="Q51" s="202">
        <v>0</v>
      </c>
      <c r="R51" s="203">
        <v>6</v>
      </c>
      <c r="S51" s="204">
        <v>3</v>
      </c>
      <c r="T51" s="205">
        <f t="shared" si="41"/>
        <v>63</v>
      </c>
      <c r="U51" s="202">
        <v>2</v>
      </c>
      <c r="V51" s="203">
        <v>26</v>
      </c>
      <c r="W51" s="204">
        <v>35</v>
      </c>
      <c r="X51" s="209">
        <f t="shared" si="42"/>
        <v>7</v>
      </c>
      <c r="Y51" s="203">
        <v>7</v>
      </c>
      <c r="Z51" s="201">
        <v>0</v>
      </c>
      <c r="AA51" s="208">
        <f t="shared" si="10"/>
        <v>405000</v>
      </c>
      <c r="AB51" s="209">
        <f t="shared" si="43"/>
        <v>243000</v>
      </c>
      <c r="AC51" s="203">
        <v>30600</v>
      </c>
      <c r="AD51" s="93">
        <f t="shared" si="18"/>
        <v>15.3</v>
      </c>
      <c r="AE51" s="210">
        <f t="shared" si="44"/>
        <v>1031.8336233325049</v>
      </c>
      <c r="AF51" s="211">
        <f t="shared" si="45"/>
        <v>15787.054436987326</v>
      </c>
      <c r="AG51" s="212">
        <f t="shared" si="46"/>
        <v>13.8</v>
      </c>
      <c r="AH51" s="212">
        <f t="shared" ref="AH51:AH65" si="52">celkemdeti/deti</f>
        <v>166.93376068376071</v>
      </c>
      <c r="AI51" s="213">
        <f t="shared" si="20"/>
        <v>2303.6858974358979</v>
      </c>
      <c r="AJ51" s="214">
        <f t="shared" si="47"/>
        <v>7</v>
      </c>
      <c r="AK51" s="191">
        <f t="shared" si="5"/>
        <v>1831.5018315018315</v>
      </c>
      <c r="AL51" s="190">
        <f t="shared" si="11"/>
        <v>12820.51282051282</v>
      </c>
      <c r="AM51" s="211">
        <v>10000</v>
      </c>
      <c r="AN51" s="203">
        <v>0</v>
      </c>
      <c r="AO51" s="203">
        <f t="shared" si="21"/>
        <v>40911.253154936043</v>
      </c>
      <c r="AP51" s="211">
        <f t="shared" si="48"/>
        <v>40911.253154936043</v>
      </c>
      <c r="AQ51" s="215">
        <f t="shared" si="49"/>
        <v>15.3</v>
      </c>
      <c r="AR51" s="211">
        <f t="shared" si="50"/>
        <v>367.56064560827116</v>
      </c>
      <c r="AS51" s="216">
        <f t="shared" si="8"/>
        <v>41278.813800544311</v>
      </c>
      <c r="AT51" s="429">
        <f t="shared" si="13"/>
        <v>41300</v>
      </c>
      <c r="AU51" s="443" t="s">
        <v>476</v>
      </c>
      <c r="AV51" s="20">
        <f t="shared" si="51"/>
        <v>0</v>
      </c>
    </row>
    <row r="52" spans="1:48" s="1" customFormat="1" ht="33" customHeight="1" x14ac:dyDescent="0.2">
      <c r="A52" s="651"/>
      <c r="B52" s="544">
        <v>48</v>
      </c>
      <c r="C52" s="598"/>
      <c r="D52" s="217" t="s">
        <v>483</v>
      </c>
      <c r="E52" s="218" t="s">
        <v>484</v>
      </c>
      <c r="F52" s="196" t="s">
        <v>51</v>
      </c>
      <c r="G52" s="219" t="s">
        <v>197</v>
      </c>
      <c r="H52" s="220">
        <v>27050629</v>
      </c>
      <c r="I52" s="220" t="s">
        <v>485</v>
      </c>
      <c r="J52" s="220" t="s">
        <v>241</v>
      </c>
      <c r="K52" s="220" t="s">
        <v>242</v>
      </c>
      <c r="L52" s="240">
        <v>20000</v>
      </c>
      <c r="M52" s="240">
        <v>123000</v>
      </c>
      <c r="N52" s="561" t="s">
        <v>742</v>
      </c>
      <c r="O52" s="239">
        <f t="shared" si="14"/>
        <v>12</v>
      </c>
      <c r="P52" s="201">
        <f t="shared" si="40"/>
        <v>4</v>
      </c>
      <c r="Q52" s="202">
        <v>0</v>
      </c>
      <c r="R52" s="203">
        <v>1</v>
      </c>
      <c r="S52" s="204">
        <v>3</v>
      </c>
      <c r="T52" s="205">
        <f t="shared" si="41"/>
        <v>8</v>
      </c>
      <c r="U52" s="202">
        <v>0</v>
      </c>
      <c r="V52" s="203">
        <v>0</v>
      </c>
      <c r="W52" s="204">
        <v>8</v>
      </c>
      <c r="X52" s="209">
        <f t="shared" si="42"/>
        <v>0</v>
      </c>
      <c r="Y52" s="203">
        <v>0</v>
      </c>
      <c r="Z52" s="201">
        <v>0</v>
      </c>
      <c r="AA52" s="208">
        <f t="shared" si="10"/>
        <v>123000</v>
      </c>
      <c r="AB52" s="209">
        <f t="shared" si="43"/>
        <v>73800</v>
      </c>
      <c r="AC52" s="203">
        <v>1300</v>
      </c>
      <c r="AD52" s="93">
        <f t="shared" si="18"/>
        <v>2.5</v>
      </c>
      <c r="AE52" s="210">
        <f t="shared" si="44"/>
        <v>1031.8336233325049</v>
      </c>
      <c r="AF52" s="211">
        <f t="shared" si="45"/>
        <v>2579.584058331262</v>
      </c>
      <c r="AG52" s="212">
        <f t="shared" si="46"/>
        <v>1</v>
      </c>
      <c r="AH52" s="212">
        <f t="shared" si="52"/>
        <v>166.93376068376071</v>
      </c>
      <c r="AI52" s="213">
        <f t="shared" si="20"/>
        <v>166.93376068376071</v>
      </c>
      <c r="AJ52" s="214">
        <f t="shared" si="47"/>
        <v>0</v>
      </c>
      <c r="AK52" s="191">
        <f t="shared" si="5"/>
        <v>1831.5018315018315</v>
      </c>
      <c r="AL52" s="190">
        <f t="shared" si="11"/>
        <v>0</v>
      </c>
      <c r="AM52" s="211">
        <v>10000</v>
      </c>
      <c r="AN52" s="203">
        <v>0</v>
      </c>
      <c r="AO52" s="203">
        <f t="shared" si="21"/>
        <v>12746.517819015022</v>
      </c>
      <c r="AP52" s="211">
        <f t="shared" si="48"/>
        <v>12746.517819015022</v>
      </c>
      <c r="AQ52" s="215">
        <f t="shared" si="49"/>
        <v>2.5</v>
      </c>
      <c r="AR52" s="211">
        <f t="shared" si="50"/>
        <v>60.058929020959333</v>
      </c>
      <c r="AS52" s="216">
        <f t="shared" si="8"/>
        <v>12806.576748035981</v>
      </c>
      <c r="AT52" s="429">
        <f t="shared" si="13"/>
        <v>12800</v>
      </c>
      <c r="AU52" s="443" t="s">
        <v>51</v>
      </c>
      <c r="AV52" s="20">
        <f t="shared" si="51"/>
        <v>0</v>
      </c>
    </row>
    <row r="53" spans="1:48" s="1" customFormat="1" ht="33" customHeight="1" x14ac:dyDescent="0.2">
      <c r="A53" s="651"/>
      <c r="B53" s="544">
        <v>49</v>
      </c>
      <c r="C53" s="598"/>
      <c r="D53" s="194" t="s">
        <v>486</v>
      </c>
      <c r="E53" s="195" t="s">
        <v>487</v>
      </c>
      <c r="F53" s="196" t="s">
        <v>488</v>
      </c>
      <c r="G53" s="197" t="s">
        <v>197</v>
      </c>
      <c r="H53" s="198">
        <v>22765140</v>
      </c>
      <c r="I53" s="198" t="s">
        <v>489</v>
      </c>
      <c r="J53" s="198" t="s">
        <v>241</v>
      </c>
      <c r="K53" s="198" t="s">
        <v>242</v>
      </c>
      <c r="L53" s="240">
        <v>30000</v>
      </c>
      <c r="M53" s="199">
        <v>122600</v>
      </c>
      <c r="N53" s="561" t="s">
        <v>743</v>
      </c>
      <c r="O53" s="239">
        <f t="shared" si="14"/>
        <v>30</v>
      </c>
      <c r="P53" s="201">
        <f t="shared" si="40"/>
        <v>30</v>
      </c>
      <c r="Q53" s="202">
        <v>0</v>
      </c>
      <c r="R53" s="203">
        <v>0</v>
      </c>
      <c r="S53" s="204">
        <v>30</v>
      </c>
      <c r="T53" s="205">
        <f t="shared" si="41"/>
        <v>0</v>
      </c>
      <c r="U53" s="202">
        <v>0</v>
      </c>
      <c r="V53" s="203">
        <v>0</v>
      </c>
      <c r="W53" s="204">
        <v>0</v>
      </c>
      <c r="X53" s="209">
        <f t="shared" si="42"/>
        <v>1</v>
      </c>
      <c r="Y53" s="203">
        <v>1</v>
      </c>
      <c r="Z53" s="201">
        <v>0</v>
      </c>
      <c r="AA53" s="208">
        <f t="shared" si="10"/>
        <v>122600</v>
      </c>
      <c r="AB53" s="209">
        <f t="shared" si="43"/>
        <v>73560</v>
      </c>
      <c r="AC53" s="203">
        <v>20000</v>
      </c>
      <c r="AD53" s="93">
        <f t="shared" si="18"/>
        <v>15</v>
      </c>
      <c r="AE53" s="210">
        <f t="shared" si="44"/>
        <v>1031.8336233325049</v>
      </c>
      <c r="AF53" s="211">
        <f t="shared" si="45"/>
        <v>15477.504349987574</v>
      </c>
      <c r="AG53" s="212">
        <f t="shared" si="46"/>
        <v>0</v>
      </c>
      <c r="AH53" s="212">
        <f t="shared" si="52"/>
        <v>166.93376068376071</v>
      </c>
      <c r="AI53" s="213">
        <f t="shared" si="20"/>
        <v>0</v>
      </c>
      <c r="AJ53" s="214">
        <f t="shared" si="47"/>
        <v>1</v>
      </c>
      <c r="AK53" s="191">
        <f t="shared" si="5"/>
        <v>1831.5018315018315</v>
      </c>
      <c r="AL53" s="190">
        <f t="shared" si="11"/>
        <v>1831.5018315018315</v>
      </c>
      <c r="AM53" s="211">
        <v>10000</v>
      </c>
      <c r="AN53" s="203">
        <v>0</v>
      </c>
      <c r="AO53" s="203">
        <f t="shared" si="21"/>
        <v>27309.006181489407</v>
      </c>
      <c r="AP53" s="211">
        <f t="shared" si="48"/>
        <v>27309.006181489407</v>
      </c>
      <c r="AQ53" s="215">
        <f t="shared" si="49"/>
        <v>15</v>
      </c>
      <c r="AR53" s="211">
        <f t="shared" si="50"/>
        <v>360.35357412575598</v>
      </c>
      <c r="AS53" s="216">
        <f t="shared" si="8"/>
        <v>27669.359755615162</v>
      </c>
      <c r="AT53" s="429">
        <f t="shared" si="13"/>
        <v>27700</v>
      </c>
      <c r="AU53" s="443" t="s">
        <v>488</v>
      </c>
      <c r="AV53" s="20">
        <f t="shared" si="51"/>
        <v>0</v>
      </c>
    </row>
    <row r="54" spans="1:48" s="1" customFormat="1" ht="33" customHeight="1" x14ac:dyDescent="0.2">
      <c r="A54" s="651"/>
      <c r="B54" s="544">
        <v>50</v>
      </c>
      <c r="C54" s="598"/>
      <c r="D54" s="194" t="s">
        <v>490</v>
      </c>
      <c r="E54" s="195" t="s">
        <v>491</v>
      </c>
      <c r="F54" s="196" t="s">
        <v>64</v>
      </c>
      <c r="G54" s="197" t="s">
        <v>197</v>
      </c>
      <c r="H54" s="198">
        <v>26615037</v>
      </c>
      <c r="I54" s="198" t="s">
        <v>492</v>
      </c>
      <c r="J54" s="198" t="s">
        <v>241</v>
      </c>
      <c r="K54" s="198" t="s">
        <v>242</v>
      </c>
      <c r="L54" s="240">
        <v>50000</v>
      </c>
      <c r="M54" s="199">
        <v>234000</v>
      </c>
      <c r="N54" s="561" t="s">
        <v>744</v>
      </c>
      <c r="O54" s="239">
        <f t="shared" si="14"/>
        <v>116</v>
      </c>
      <c r="P54" s="201">
        <f t="shared" si="40"/>
        <v>19</v>
      </c>
      <c r="Q54" s="202">
        <v>0</v>
      </c>
      <c r="R54" s="203">
        <v>0</v>
      </c>
      <c r="S54" s="204">
        <v>19</v>
      </c>
      <c r="T54" s="205">
        <f t="shared" si="41"/>
        <v>97</v>
      </c>
      <c r="U54" s="202">
        <v>0</v>
      </c>
      <c r="V54" s="203">
        <v>73</v>
      </c>
      <c r="W54" s="204">
        <v>24</v>
      </c>
      <c r="X54" s="209">
        <f t="shared" si="42"/>
        <v>2</v>
      </c>
      <c r="Y54" s="203">
        <v>2</v>
      </c>
      <c r="Z54" s="201">
        <v>0</v>
      </c>
      <c r="AA54" s="208">
        <f t="shared" si="10"/>
        <v>234000</v>
      </c>
      <c r="AB54" s="209">
        <f t="shared" si="43"/>
        <v>140400</v>
      </c>
      <c r="AC54" s="203">
        <v>20000</v>
      </c>
      <c r="AD54" s="93">
        <f t="shared" si="18"/>
        <v>31.4</v>
      </c>
      <c r="AE54" s="210">
        <f t="shared" si="44"/>
        <v>1031.8336233325049</v>
      </c>
      <c r="AF54" s="211">
        <f t="shared" si="45"/>
        <v>32399.575772640652</v>
      </c>
      <c r="AG54" s="212">
        <f t="shared" si="46"/>
        <v>21.9</v>
      </c>
      <c r="AH54" s="212">
        <f t="shared" si="52"/>
        <v>166.93376068376071</v>
      </c>
      <c r="AI54" s="213">
        <f t="shared" si="20"/>
        <v>3655.8493589743593</v>
      </c>
      <c r="AJ54" s="214">
        <f t="shared" si="47"/>
        <v>2</v>
      </c>
      <c r="AK54" s="191">
        <f t="shared" si="5"/>
        <v>1831.5018315018315</v>
      </c>
      <c r="AL54" s="190">
        <f t="shared" si="11"/>
        <v>3663.003663003663</v>
      </c>
      <c r="AM54" s="211">
        <v>10000</v>
      </c>
      <c r="AN54" s="203">
        <v>0</v>
      </c>
      <c r="AO54" s="203">
        <f t="shared" si="21"/>
        <v>49718.428794618674</v>
      </c>
      <c r="AP54" s="211">
        <f t="shared" si="48"/>
        <v>49718.428794618674</v>
      </c>
      <c r="AQ54" s="215">
        <f t="shared" si="49"/>
        <v>31.4</v>
      </c>
      <c r="AR54" s="211">
        <f t="shared" si="50"/>
        <v>754.34014850324922</v>
      </c>
      <c r="AS54" s="216">
        <f t="shared" si="8"/>
        <v>50472.768943121926</v>
      </c>
      <c r="AT54" s="429">
        <f t="shared" si="13"/>
        <v>50500</v>
      </c>
      <c r="AU54" s="443" t="s">
        <v>64</v>
      </c>
      <c r="AV54" s="20">
        <f t="shared" si="51"/>
        <v>0</v>
      </c>
    </row>
    <row r="55" spans="1:48" s="1" customFormat="1" ht="33" customHeight="1" x14ac:dyDescent="0.2">
      <c r="A55" s="651"/>
      <c r="B55" s="544">
        <v>51</v>
      </c>
      <c r="C55" s="598"/>
      <c r="D55" s="194" t="s">
        <v>493</v>
      </c>
      <c r="E55" s="195" t="s">
        <v>494</v>
      </c>
      <c r="F55" s="196" t="s">
        <v>116</v>
      </c>
      <c r="G55" s="197" t="s">
        <v>197</v>
      </c>
      <c r="H55" s="198">
        <v>27050734</v>
      </c>
      <c r="I55" s="198" t="s">
        <v>495</v>
      </c>
      <c r="J55" s="198" t="s">
        <v>241</v>
      </c>
      <c r="K55" s="198" t="s">
        <v>242</v>
      </c>
      <c r="L55" s="240">
        <v>80000</v>
      </c>
      <c r="M55" s="199">
        <v>400000</v>
      </c>
      <c r="N55" s="561" t="s">
        <v>745</v>
      </c>
      <c r="O55" s="239">
        <f t="shared" si="14"/>
        <v>205</v>
      </c>
      <c r="P55" s="201">
        <f t="shared" si="40"/>
        <v>44</v>
      </c>
      <c r="Q55" s="202">
        <v>0</v>
      </c>
      <c r="R55" s="203">
        <v>44</v>
      </c>
      <c r="S55" s="204">
        <v>0</v>
      </c>
      <c r="T55" s="205">
        <f t="shared" si="41"/>
        <v>161</v>
      </c>
      <c r="U55" s="202">
        <v>0</v>
      </c>
      <c r="V55" s="203">
        <v>157</v>
      </c>
      <c r="W55" s="204">
        <v>4</v>
      </c>
      <c r="X55" s="209">
        <f t="shared" si="42"/>
        <v>1</v>
      </c>
      <c r="Y55" s="203">
        <v>1</v>
      </c>
      <c r="Z55" s="201">
        <v>0</v>
      </c>
      <c r="AA55" s="208">
        <f t="shared" si="10"/>
        <v>400000</v>
      </c>
      <c r="AB55" s="209">
        <f t="shared" si="43"/>
        <v>240000</v>
      </c>
      <c r="AC55" s="203">
        <v>184000</v>
      </c>
      <c r="AD55" s="93">
        <f t="shared" si="18"/>
        <v>91.1</v>
      </c>
      <c r="AE55" s="210">
        <f t="shared" si="44"/>
        <v>1031.8336233325049</v>
      </c>
      <c r="AF55" s="211">
        <f t="shared" si="45"/>
        <v>94000.043085591184</v>
      </c>
      <c r="AG55" s="212">
        <f t="shared" si="46"/>
        <v>91.1</v>
      </c>
      <c r="AH55" s="212">
        <f t="shared" si="52"/>
        <v>166.93376068376071</v>
      </c>
      <c r="AI55" s="213">
        <f t="shared" si="20"/>
        <v>15207.6655982906</v>
      </c>
      <c r="AJ55" s="214">
        <f t="shared" si="47"/>
        <v>1</v>
      </c>
      <c r="AK55" s="191">
        <f t="shared" si="5"/>
        <v>1831.5018315018315</v>
      </c>
      <c r="AL55" s="190">
        <f t="shared" si="11"/>
        <v>1831.5018315018315</v>
      </c>
      <c r="AM55" s="211">
        <v>10000</v>
      </c>
      <c r="AN55" s="203">
        <v>0</v>
      </c>
      <c r="AO55" s="203">
        <f t="shared" si="21"/>
        <v>121039.2105153836</v>
      </c>
      <c r="AP55" s="211">
        <f t="shared" si="48"/>
        <v>121039.2105153836</v>
      </c>
      <c r="AQ55" s="215">
        <f t="shared" si="49"/>
        <v>91.1</v>
      </c>
      <c r="AR55" s="211">
        <f t="shared" si="50"/>
        <v>2188.5473735237579</v>
      </c>
      <c r="AS55" s="216">
        <f t="shared" si="8"/>
        <v>123227.75788890736</v>
      </c>
      <c r="AT55" s="429">
        <f t="shared" si="13"/>
        <v>123200</v>
      </c>
      <c r="AU55" s="443" t="s">
        <v>116</v>
      </c>
      <c r="AV55" s="20">
        <f t="shared" si="51"/>
        <v>0</v>
      </c>
    </row>
    <row r="56" spans="1:48" s="1" customFormat="1" ht="33" customHeight="1" x14ac:dyDescent="0.2">
      <c r="A56" s="651"/>
      <c r="B56" s="544">
        <v>52</v>
      </c>
      <c r="C56" s="598"/>
      <c r="D56" s="194" t="s">
        <v>496</v>
      </c>
      <c r="E56" s="195" t="s">
        <v>497</v>
      </c>
      <c r="F56" s="196" t="s">
        <v>103</v>
      </c>
      <c r="G56" s="197" t="s">
        <v>197</v>
      </c>
      <c r="H56" s="198">
        <v>47810122</v>
      </c>
      <c r="I56" s="198" t="s">
        <v>498</v>
      </c>
      <c r="J56" s="198" t="s">
        <v>499</v>
      </c>
      <c r="K56" s="198" t="s">
        <v>500</v>
      </c>
      <c r="L56" s="240">
        <v>150000</v>
      </c>
      <c r="M56" s="199">
        <v>450000</v>
      </c>
      <c r="N56" s="561" t="s">
        <v>746</v>
      </c>
      <c r="O56" s="239">
        <f t="shared" si="14"/>
        <v>271</v>
      </c>
      <c r="P56" s="201">
        <f t="shared" si="40"/>
        <v>98</v>
      </c>
      <c r="Q56" s="202">
        <v>0</v>
      </c>
      <c r="R56" s="203">
        <v>62</v>
      </c>
      <c r="S56" s="204">
        <v>36</v>
      </c>
      <c r="T56" s="205">
        <f t="shared" si="41"/>
        <v>173</v>
      </c>
      <c r="U56" s="202">
        <v>6</v>
      </c>
      <c r="V56" s="203">
        <v>73</v>
      </c>
      <c r="W56" s="204">
        <v>94</v>
      </c>
      <c r="X56" s="209">
        <f t="shared" si="42"/>
        <v>10</v>
      </c>
      <c r="Y56" s="203">
        <v>5</v>
      </c>
      <c r="Z56" s="201">
        <v>5</v>
      </c>
      <c r="AA56" s="208">
        <f t="shared" si="10"/>
        <v>450000</v>
      </c>
      <c r="AB56" s="209">
        <f t="shared" si="43"/>
        <v>270000</v>
      </c>
      <c r="AC56" s="203">
        <v>50000</v>
      </c>
      <c r="AD56" s="93">
        <f t="shared" si="18"/>
        <v>101.9</v>
      </c>
      <c r="AE56" s="210">
        <f t="shared" si="44"/>
        <v>1031.8336233325049</v>
      </c>
      <c r="AF56" s="211">
        <f t="shared" si="45"/>
        <v>105143.84621758225</v>
      </c>
      <c r="AG56" s="212">
        <f t="shared" si="46"/>
        <v>83.9</v>
      </c>
      <c r="AH56" s="212">
        <f t="shared" si="52"/>
        <v>166.93376068376071</v>
      </c>
      <c r="AI56" s="213">
        <f t="shared" si="20"/>
        <v>14005.742521367525</v>
      </c>
      <c r="AJ56" s="214">
        <f t="shared" si="47"/>
        <v>5</v>
      </c>
      <c r="AK56" s="191">
        <f t="shared" si="5"/>
        <v>1831.5018315018315</v>
      </c>
      <c r="AL56" s="190">
        <f t="shared" si="11"/>
        <v>9157.5091575091574</v>
      </c>
      <c r="AM56" s="211">
        <v>10000</v>
      </c>
      <c r="AN56" s="203">
        <v>0</v>
      </c>
      <c r="AO56" s="203">
        <f t="shared" si="21"/>
        <v>138307.09789645893</v>
      </c>
      <c r="AP56" s="211">
        <f t="shared" si="48"/>
        <v>138307.09789645893</v>
      </c>
      <c r="AQ56" s="215">
        <f t="shared" si="49"/>
        <v>101.9</v>
      </c>
      <c r="AR56" s="211">
        <f t="shared" si="50"/>
        <v>2448.0019468943024</v>
      </c>
      <c r="AS56" s="216">
        <f t="shared" si="8"/>
        <v>140755.09984335324</v>
      </c>
      <c r="AT56" s="429">
        <f t="shared" si="13"/>
        <v>140800</v>
      </c>
      <c r="AU56" s="443" t="s">
        <v>103</v>
      </c>
      <c r="AV56" s="20">
        <f t="shared" si="51"/>
        <v>0</v>
      </c>
    </row>
    <row r="57" spans="1:48" s="1" customFormat="1" ht="33" customHeight="1" x14ac:dyDescent="0.2">
      <c r="A57" s="651"/>
      <c r="B57" s="544">
        <v>53</v>
      </c>
      <c r="C57" s="598"/>
      <c r="D57" s="194" t="s">
        <v>501</v>
      </c>
      <c r="E57" s="195" t="s">
        <v>502</v>
      </c>
      <c r="F57" s="196" t="s">
        <v>503</v>
      </c>
      <c r="G57" s="197" t="s">
        <v>197</v>
      </c>
      <c r="H57" s="198">
        <v>26600455</v>
      </c>
      <c r="I57" s="198" t="s">
        <v>504</v>
      </c>
      <c r="J57" s="198" t="s">
        <v>241</v>
      </c>
      <c r="K57" s="198" t="s">
        <v>242</v>
      </c>
      <c r="L57" s="240">
        <v>30000</v>
      </c>
      <c r="M57" s="199">
        <v>200000</v>
      </c>
      <c r="N57" s="561" t="s">
        <v>747</v>
      </c>
      <c r="O57" s="239">
        <f t="shared" si="14"/>
        <v>39</v>
      </c>
      <c r="P57" s="201">
        <f t="shared" ref="P57" si="53">+Q57+R57+S57</f>
        <v>23</v>
      </c>
      <c r="Q57" s="202">
        <v>0</v>
      </c>
      <c r="R57" s="203">
        <v>0</v>
      </c>
      <c r="S57" s="204">
        <v>23</v>
      </c>
      <c r="T57" s="205">
        <f t="shared" ref="T57" si="54">+U57+V57+W57</f>
        <v>16</v>
      </c>
      <c r="U57" s="202">
        <v>0</v>
      </c>
      <c r="V57" s="203">
        <v>0</v>
      </c>
      <c r="W57" s="204">
        <v>16</v>
      </c>
      <c r="X57" s="209">
        <f t="shared" ref="X57" si="55">+Y57+Z57</f>
        <v>3</v>
      </c>
      <c r="Y57" s="203">
        <v>3</v>
      </c>
      <c r="Z57" s="201">
        <v>0</v>
      </c>
      <c r="AA57" s="208">
        <f t="shared" si="10"/>
        <v>200000</v>
      </c>
      <c r="AB57" s="209">
        <f t="shared" ref="AB57" si="56">AA57*koef</f>
        <v>120000</v>
      </c>
      <c r="AC57" s="203">
        <v>6000</v>
      </c>
      <c r="AD57" s="93">
        <f t="shared" si="18"/>
        <v>11.5</v>
      </c>
      <c r="AE57" s="210">
        <f t="shared" si="44"/>
        <v>1031.8336233325049</v>
      </c>
      <c r="AF57" s="211">
        <f t="shared" si="45"/>
        <v>11866.086668323805</v>
      </c>
      <c r="AG57" s="212">
        <f t="shared" si="46"/>
        <v>0</v>
      </c>
      <c r="AH57" s="212">
        <f t="shared" si="52"/>
        <v>166.93376068376071</v>
      </c>
      <c r="AI57" s="213">
        <f t="shared" si="20"/>
        <v>0</v>
      </c>
      <c r="AJ57" s="214">
        <f t="shared" si="47"/>
        <v>3</v>
      </c>
      <c r="AK57" s="191">
        <f t="shared" si="5"/>
        <v>1831.5018315018315</v>
      </c>
      <c r="AL57" s="190">
        <f t="shared" si="11"/>
        <v>5494.5054945054944</v>
      </c>
      <c r="AM57" s="211">
        <v>10000</v>
      </c>
      <c r="AN57" s="203">
        <v>0</v>
      </c>
      <c r="AO57" s="203">
        <f t="shared" si="21"/>
        <v>27360.5921628293</v>
      </c>
      <c r="AP57" s="211">
        <f t="shared" si="48"/>
        <v>27360.5921628293</v>
      </c>
      <c r="AQ57" s="215">
        <f t="shared" si="49"/>
        <v>11.5</v>
      </c>
      <c r="AR57" s="211">
        <f t="shared" si="50"/>
        <v>276.27107349641295</v>
      </c>
      <c r="AS57" s="216">
        <f t="shared" si="8"/>
        <v>27636.863236325713</v>
      </c>
      <c r="AT57" s="429">
        <f t="shared" si="13"/>
        <v>27600</v>
      </c>
      <c r="AU57" s="443" t="s">
        <v>503</v>
      </c>
      <c r="AV57" s="20">
        <f t="shared" si="51"/>
        <v>0</v>
      </c>
    </row>
    <row r="58" spans="1:48" s="1" customFormat="1" ht="33" customHeight="1" x14ac:dyDescent="0.2">
      <c r="A58" s="651"/>
      <c r="B58" s="544">
        <v>54</v>
      </c>
      <c r="C58" s="598"/>
      <c r="D58" s="194" t="s">
        <v>505</v>
      </c>
      <c r="E58" s="195" t="s">
        <v>506</v>
      </c>
      <c r="F58" s="196" t="s">
        <v>507</v>
      </c>
      <c r="G58" s="197" t="s">
        <v>197</v>
      </c>
      <c r="H58" s="198">
        <v>26589605</v>
      </c>
      <c r="I58" s="198" t="s">
        <v>504</v>
      </c>
      <c r="J58" s="198" t="s">
        <v>241</v>
      </c>
      <c r="K58" s="198" t="s">
        <v>242</v>
      </c>
      <c r="L58" s="240">
        <v>25000</v>
      </c>
      <c r="M58" s="199">
        <v>243000</v>
      </c>
      <c r="N58" s="561" t="s">
        <v>748</v>
      </c>
      <c r="O58" s="239">
        <f t="shared" si="14"/>
        <v>31</v>
      </c>
      <c r="P58" s="201">
        <f t="shared" ref="P58:P80" si="57">+Q58+R58+S58</f>
        <v>18</v>
      </c>
      <c r="Q58" s="202">
        <v>0</v>
      </c>
      <c r="R58" s="203">
        <v>0</v>
      </c>
      <c r="S58" s="204">
        <v>18</v>
      </c>
      <c r="T58" s="205">
        <f t="shared" ref="T58:T80" si="58">+U58+V58+W58</f>
        <v>13</v>
      </c>
      <c r="U58" s="202">
        <v>0</v>
      </c>
      <c r="V58" s="203">
        <v>3</v>
      </c>
      <c r="W58" s="204">
        <v>10</v>
      </c>
      <c r="X58" s="209">
        <f t="shared" ref="X58:X80" si="59">+Y58+Z58</f>
        <v>0</v>
      </c>
      <c r="Y58" s="203">
        <v>0</v>
      </c>
      <c r="Z58" s="201">
        <v>0</v>
      </c>
      <c r="AA58" s="208">
        <f t="shared" si="10"/>
        <v>243000</v>
      </c>
      <c r="AB58" s="209">
        <f t="shared" ref="AB58:AB80" si="60">AA58*koef</f>
        <v>145800</v>
      </c>
      <c r="AC58" s="203">
        <v>35000</v>
      </c>
      <c r="AD58" s="93">
        <f t="shared" si="18"/>
        <v>9.9</v>
      </c>
      <c r="AE58" s="210">
        <f t="shared" si="44"/>
        <v>1031.8336233325049</v>
      </c>
      <c r="AF58" s="211">
        <f t="shared" si="45"/>
        <v>10215.152870991798</v>
      </c>
      <c r="AG58" s="212">
        <f t="shared" si="46"/>
        <v>0.89999999999999991</v>
      </c>
      <c r="AH58" s="212">
        <f t="shared" si="52"/>
        <v>166.93376068376071</v>
      </c>
      <c r="AI58" s="213">
        <f t="shared" si="20"/>
        <v>150.24038461538461</v>
      </c>
      <c r="AJ58" s="214">
        <f t="shared" si="47"/>
        <v>0</v>
      </c>
      <c r="AK58" s="191">
        <f t="shared" si="5"/>
        <v>1831.5018315018315</v>
      </c>
      <c r="AL58" s="190">
        <f t="shared" si="11"/>
        <v>0</v>
      </c>
      <c r="AM58" s="211">
        <v>10000</v>
      </c>
      <c r="AN58" s="203">
        <v>0</v>
      </c>
      <c r="AO58" s="203">
        <f t="shared" si="21"/>
        <v>20365.393255607181</v>
      </c>
      <c r="AP58" s="211">
        <f t="shared" si="48"/>
        <v>20365.393255607181</v>
      </c>
      <c r="AQ58" s="215">
        <f t="shared" si="49"/>
        <v>9.9</v>
      </c>
      <c r="AR58" s="211">
        <f t="shared" si="50"/>
        <v>237.83335892299897</v>
      </c>
      <c r="AS58" s="216">
        <f t="shared" si="8"/>
        <v>20603.22661453018</v>
      </c>
      <c r="AT58" s="429">
        <f t="shared" si="13"/>
        <v>20600</v>
      </c>
      <c r="AU58" s="443" t="s">
        <v>507</v>
      </c>
      <c r="AV58" s="20">
        <f t="shared" si="51"/>
        <v>0</v>
      </c>
    </row>
    <row r="59" spans="1:48" s="1" customFormat="1" ht="33" customHeight="1" x14ac:dyDescent="0.2">
      <c r="A59" s="651"/>
      <c r="B59" s="544">
        <v>55</v>
      </c>
      <c r="C59" s="598"/>
      <c r="D59" s="194" t="s">
        <v>508</v>
      </c>
      <c r="E59" s="195" t="s">
        <v>509</v>
      </c>
      <c r="F59" s="196" t="s">
        <v>55</v>
      </c>
      <c r="G59" s="197" t="s">
        <v>197</v>
      </c>
      <c r="H59" s="198" t="s">
        <v>54</v>
      </c>
      <c r="I59" s="198" t="s">
        <v>269</v>
      </c>
      <c r="J59" s="198" t="s">
        <v>241</v>
      </c>
      <c r="K59" s="198" t="s">
        <v>242</v>
      </c>
      <c r="L59" s="240">
        <v>15000</v>
      </c>
      <c r="M59" s="199">
        <v>53000</v>
      </c>
      <c r="N59" s="561" t="s">
        <v>749</v>
      </c>
      <c r="O59" s="239">
        <f t="shared" si="14"/>
        <v>16</v>
      </c>
      <c r="P59" s="201">
        <f t="shared" si="57"/>
        <v>2</v>
      </c>
      <c r="Q59" s="202">
        <v>0</v>
      </c>
      <c r="R59" s="203">
        <v>0</v>
      </c>
      <c r="S59" s="204">
        <v>2</v>
      </c>
      <c r="T59" s="205">
        <f t="shared" si="58"/>
        <v>14</v>
      </c>
      <c r="U59" s="202">
        <v>0</v>
      </c>
      <c r="V59" s="203">
        <v>0</v>
      </c>
      <c r="W59" s="204">
        <v>14</v>
      </c>
      <c r="X59" s="209">
        <f t="shared" si="59"/>
        <v>0</v>
      </c>
      <c r="Y59" s="203">
        <v>0</v>
      </c>
      <c r="Z59" s="201">
        <v>0</v>
      </c>
      <c r="AA59" s="208">
        <f t="shared" si="10"/>
        <v>53000</v>
      </c>
      <c r="AB59" s="209">
        <f t="shared" si="60"/>
        <v>31800</v>
      </c>
      <c r="AC59" s="203">
        <v>5000</v>
      </c>
      <c r="AD59" s="93">
        <f t="shared" si="18"/>
        <v>1</v>
      </c>
      <c r="AE59" s="210">
        <f t="shared" si="44"/>
        <v>1031.8336233325049</v>
      </c>
      <c r="AF59" s="211">
        <f t="shared" si="45"/>
        <v>1031.8336233325049</v>
      </c>
      <c r="AG59" s="212">
        <f t="shared" si="46"/>
        <v>0</v>
      </c>
      <c r="AH59" s="212">
        <f t="shared" si="52"/>
        <v>166.93376068376071</v>
      </c>
      <c r="AI59" s="213">
        <f t="shared" si="20"/>
        <v>0</v>
      </c>
      <c r="AJ59" s="214">
        <f t="shared" si="47"/>
        <v>0</v>
      </c>
      <c r="AK59" s="191">
        <f t="shared" si="5"/>
        <v>1831.5018315018315</v>
      </c>
      <c r="AL59" s="190">
        <f t="shared" si="11"/>
        <v>0</v>
      </c>
      <c r="AM59" s="211">
        <v>10000</v>
      </c>
      <c r="AN59" s="203">
        <v>0</v>
      </c>
      <c r="AO59" s="203">
        <f t="shared" si="21"/>
        <v>11031.833623332504</v>
      </c>
      <c r="AP59" s="211">
        <f t="shared" si="48"/>
        <v>11031.833623332504</v>
      </c>
      <c r="AQ59" s="215">
        <f t="shared" si="49"/>
        <v>1</v>
      </c>
      <c r="AR59" s="211">
        <f t="shared" si="50"/>
        <v>24.023571608383733</v>
      </c>
      <c r="AS59" s="216">
        <f t="shared" si="8"/>
        <v>11055.857194940889</v>
      </c>
      <c r="AT59" s="429">
        <f t="shared" si="13"/>
        <v>11100</v>
      </c>
      <c r="AU59" s="443" t="s">
        <v>55</v>
      </c>
      <c r="AV59" s="20">
        <f t="shared" si="51"/>
        <v>0</v>
      </c>
    </row>
    <row r="60" spans="1:48" s="1" customFormat="1" ht="33" customHeight="1" x14ac:dyDescent="0.2">
      <c r="A60" s="651"/>
      <c r="B60" s="544">
        <v>56</v>
      </c>
      <c r="C60" s="598"/>
      <c r="D60" s="194" t="s">
        <v>510</v>
      </c>
      <c r="E60" s="195" t="s">
        <v>511</v>
      </c>
      <c r="F60" s="196" t="s">
        <v>512</v>
      </c>
      <c r="G60" s="197" t="s">
        <v>197</v>
      </c>
      <c r="H60" s="198" t="s">
        <v>513</v>
      </c>
      <c r="I60" s="198" t="s">
        <v>514</v>
      </c>
      <c r="J60" s="198" t="s">
        <v>241</v>
      </c>
      <c r="K60" s="198" t="s">
        <v>242</v>
      </c>
      <c r="L60" s="240">
        <v>20000</v>
      </c>
      <c r="M60" s="199">
        <v>140000</v>
      </c>
      <c r="N60" s="561" t="s">
        <v>750</v>
      </c>
      <c r="O60" s="239">
        <f t="shared" si="14"/>
        <v>30</v>
      </c>
      <c r="P60" s="201">
        <f t="shared" si="57"/>
        <v>0</v>
      </c>
      <c r="Q60" s="202">
        <v>0</v>
      </c>
      <c r="R60" s="203">
        <v>0</v>
      </c>
      <c r="S60" s="204">
        <v>0</v>
      </c>
      <c r="T60" s="205">
        <f t="shared" si="58"/>
        <v>30</v>
      </c>
      <c r="U60" s="202">
        <v>0</v>
      </c>
      <c r="V60" s="203">
        <v>21</v>
      </c>
      <c r="W60" s="204">
        <v>9</v>
      </c>
      <c r="X60" s="209">
        <f t="shared" si="59"/>
        <v>1</v>
      </c>
      <c r="Y60" s="203">
        <v>1</v>
      </c>
      <c r="Z60" s="201">
        <v>0</v>
      </c>
      <c r="AA60" s="208">
        <f t="shared" si="10"/>
        <v>140000</v>
      </c>
      <c r="AB60" s="209">
        <f t="shared" si="60"/>
        <v>84000</v>
      </c>
      <c r="AC60" s="203">
        <v>47000</v>
      </c>
      <c r="AD60" s="93">
        <f t="shared" si="18"/>
        <v>6.3</v>
      </c>
      <c r="AE60" s="210">
        <f t="shared" si="44"/>
        <v>1031.8336233325049</v>
      </c>
      <c r="AF60" s="211">
        <f t="shared" si="45"/>
        <v>6500.5518269947806</v>
      </c>
      <c r="AG60" s="212">
        <f t="shared" si="46"/>
        <v>6.3</v>
      </c>
      <c r="AH60" s="212">
        <f t="shared" si="52"/>
        <v>166.93376068376071</v>
      </c>
      <c r="AI60" s="213">
        <f t="shared" si="20"/>
        <v>1051.6826923076924</v>
      </c>
      <c r="AJ60" s="214">
        <f t="shared" si="47"/>
        <v>1</v>
      </c>
      <c r="AK60" s="191">
        <f t="shared" si="5"/>
        <v>1831.5018315018315</v>
      </c>
      <c r="AL60" s="190">
        <f t="shared" si="11"/>
        <v>1831.5018315018315</v>
      </c>
      <c r="AM60" s="211">
        <v>10000</v>
      </c>
      <c r="AN60" s="203">
        <v>0</v>
      </c>
      <c r="AO60" s="203">
        <f t="shared" si="21"/>
        <v>19383.736350804305</v>
      </c>
      <c r="AP60" s="211">
        <f t="shared" si="48"/>
        <v>19383.736350804305</v>
      </c>
      <c r="AQ60" s="215">
        <f t="shared" si="49"/>
        <v>6.3</v>
      </c>
      <c r="AR60" s="211">
        <f t="shared" si="50"/>
        <v>151.34850113281752</v>
      </c>
      <c r="AS60" s="216">
        <f t="shared" si="8"/>
        <v>19535.084851937121</v>
      </c>
      <c r="AT60" s="429">
        <f t="shared" si="13"/>
        <v>19500</v>
      </c>
      <c r="AU60" s="443" t="s">
        <v>512</v>
      </c>
      <c r="AV60" s="20">
        <f t="shared" si="51"/>
        <v>0</v>
      </c>
    </row>
    <row r="61" spans="1:48" s="1" customFormat="1" ht="33" customHeight="1" x14ac:dyDescent="0.2">
      <c r="A61" s="651"/>
      <c r="B61" s="544">
        <v>57</v>
      </c>
      <c r="C61" s="598"/>
      <c r="D61" s="194" t="s">
        <v>515</v>
      </c>
      <c r="E61" s="195" t="s">
        <v>516</v>
      </c>
      <c r="F61" s="196" t="s">
        <v>101</v>
      </c>
      <c r="G61" s="197" t="s">
        <v>197</v>
      </c>
      <c r="H61" s="198">
        <v>47810025</v>
      </c>
      <c r="I61" s="198" t="s">
        <v>266</v>
      </c>
      <c r="J61" s="198" t="s">
        <v>241</v>
      </c>
      <c r="K61" s="198" t="s">
        <v>242</v>
      </c>
      <c r="L61" s="240">
        <v>17000</v>
      </c>
      <c r="M61" s="199">
        <v>70000</v>
      </c>
      <c r="N61" s="561" t="s">
        <v>751</v>
      </c>
      <c r="O61" s="239">
        <f t="shared" si="14"/>
        <v>11</v>
      </c>
      <c r="P61" s="201">
        <f t="shared" si="57"/>
        <v>7</v>
      </c>
      <c r="Q61" s="202">
        <v>0</v>
      </c>
      <c r="R61" s="203">
        <v>0</v>
      </c>
      <c r="S61" s="204">
        <v>7</v>
      </c>
      <c r="T61" s="205">
        <f t="shared" si="58"/>
        <v>4</v>
      </c>
      <c r="U61" s="202">
        <v>0</v>
      </c>
      <c r="V61" s="203">
        <v>0</v>
      </c>
      <c r="W61" s="204">
        <v>4</v>
      </c>
      <c r="X61" s="209">
        <f t="shared" si="59"/>
        <v>0</v>
      </c>
      <c r="Y61" s="203">
        <v>0</v>
      </c>
      <c r="Z61" s="201">
        <v>0</v>
      </c>
      <c r="AA61" s="208">
        <f t="shared" si="10"/>
        <v>70000</v>
      </c>
      <c r="AB61" s="209">
        <f t="shared" si="60"/>
        <v>42000</v>
      </c>
      <c r="AC61" s="203">
        <v>1000</v>
      </c>
      <c r="AD61" s="93">
        <f t="shared" si="18"/>
        <v>3.5</v>
      </c>
      <c r="AE61" s="210">
        <f t="shared" si="44"/>
        <v>1031.8336233325049</v>
      </c>
      <c r="AF61" s="211">
        <f t="shared" si="45"/>
        <v>3611.4176816637673</v>
      </c>
      <c r="AG61" s="212">
        <f t="shared" si="46"/>
        <v>0</v>
      </c>
      <c r="AH61" s="212">
        <f t="shared" si="52"/>
        <v>166.93376068376071</v>
      </c>
      <c r="AI61" s="213">
        <f t="shared" si="20"/>
        <v>0</v>
      </c>
      <c r="AJ61" s="214">
        <f t="shared" si="47"/>
        <v>0</v>
      </c>
      <c r="AK61" s="191">
        <f t="shared" si="5"/>
        <v>1831.5018315018315</v>
      </c>
      <c r="AL61" s="190">
        <f t="shared" si="11"/>
        <v>0</v>
      </c>
      <c r="AM61" s="211">
        <v>10000</v>
      </c>
      <c r="AN61" s="203">
        <v>0</v>
      </c>
      <c r="AO61" s="203">
        <f t="shared" si="21"/>
        <v>13611.417681663766</v>
      </c>
      <c r="AP61" s="211">
        <f t="shared" si="48"/>
        <v>13611.417681663766</v>
      </c>
      <c r="AQ61" s="215">
        <f t="shared" si="49"/>
        <v>3.5</v>
      </c>
      <c r="AR61" s="211">
        <f t="shared" si="50"/>
        <v>84.082500629343059</v>
      </c>
      <c r="AS61" s="216">
        <f t="shared" si="8"/>
        <v>13695.50018229311</v>
      </c>
      <c r="AT61" s="429">
        <f t="shared" si="13"/>
        <v>13700</v>
      </c>
      <c r="AU61" s="443" t="s">
        <v>101</v>
      </c>
      <c r="AV61" s="20">
        <f t="shared" si="51"/>
        <v>0</v>
      </c>
    </row>
    <row r="62" spans="1:48" s="1" customFormat="1" ht="33" customHeight="1" x14ac:dyDescent="0.2">
      <c r="A62" s="651"/>
      <c r="B62" s="544">
        <v>58</v>
      </c>
      <c r="C62" s="598"/>
      <c r="D62" s="194" t="s">
        <v>517</v>
      </c>
      <c r="E62" s="195" t="s">
        <v>518</v>
      </c>
      <c r="F62" s="196" t="s">
        <v>118</v>
      </c>
      <c r="G62" s="197" t="s">
        <v>197</v>
      </c>
      <c r="H62" s="198">
        <v>47815345</v>
      </c>
      <c r="I62" s="198" t="s">
        <v>519</v>
      </c>
      <c r="J62" s="198" t="s">
        <v>520</v>
      </c>
      <c r="K62" s="198" t="s">
        <v>521</v>
      </c>
      <c r="L62" s="240">
        <v>200000</v>
      </c>
      <c r="M62" s="199">
        <v>987500</v>
      </c>
      <c r="N62" s="561" t="s">
        <v>752</v>
      </c>
      <c r="O62" s="239">
        <f t="shared" si="14"/>
        <v>183</v>
      </c>
      <c r="P62" s="201">
        <f t="shared" si="57"/>
        <v>40</v>
      </c>
      <c r="Q62" s="202">
        <v>0</v>
      </c>
      <c r="R62" s="203">
        <v>22</v>
      </c>
      <c r="S62" s="204">
        <v>18</v>
      </c>
      <c r="T62" s="205">
        <f t="shared" si="58"/>
        <v>143</v>
      </c>
      <c r="U62" s="202">
        <v>20</v>
      </c>
      <c r="V62" s="203">
        <v>103</v>
      </c>
      <c r="W62" s="204">
        <v>20</v>
      </c>
      <c r="X62" s="209">
        <f t="shared" si="59"/>
        <v>10</v>
      </c>
      <c r="Y62" s="203">
        <v>9</v>
      </c>
      <c r="Z62" s="201">
        <v>1</v>
      </c>
      <c r="AA62" s="208">
        <f t="shared" si="10"/>
        <v>987500</v>
      </c>
      <c r="AB62" s="209">
        <f t="shared" si="60"/>
        <v>592500</v>
      </c>
      <c r="AC62" s="203">
        <v>102390</v>
      </c>
      <c r="AD62" s="93">
        <f t="shared" si="18"/>
        <v>61.9</v>
      </c>
      <c r="AE62" s="210">
        <f t="shared" si="44"/>
        <v>1031.8336233325049</v>
      </c>
      <c r="AF62" s="211">
        <f t="shared" si="45"/>
        <v>63870.501284282051</v>
      </c>
      <c r="AG62" s="212">
        <f t="shared" si="46"/>
        <v>52.9</v>
      </c>
      <c r="AH62" s="212">
        <f t="shared" si="52"/>
        <v>166.93376068376071</v>
      </c>
      <c r="AI62" s="213">
        <f t="shared" si="20"/>
        <v>8830.7959401709413</v>
      </c>
      <c r="AJ62" s="214">
        <f t="shared" si="47"/>
        <v>9</v>
      </c>
      <c r="AK62" s="191">
        <f t="shared" si="5"/>
        <v>1831.5018315018315</v>
      </c>
      <c r="AL62" s="190">
        <f t="shared" si="11"/>
        <v>16483.516483516483</v>
      </c>
      <c r="AM62" s="211">
        <v>10000</v>
      </c>
      <c r="AN62" s="203">
        <v>0</v>
      </c>
      <c r="AO62" s="203">
        <f t="shared" si="21"/>
        <v>99184.813707969472</v>
      </c>
      <c r="AP62" s="211">
        <f t="shared" si="48"/>
        <v>99184.813707969472</v>
      </c>
      <c r="AQ62" s="215">
        <f t="shared" si="49"/>
        <v>61.9</v>
      </c>
      <c r="AR62" s="211">
        <f t="shared" si="50"/>
        <v>1487.0590825589532</v>
      </c>
      <c r="AS62" s="216">
        <f t="shared" si="8"/>
        <v>100671.87279052842</v>
      </c>
      <c r="AT62" s="429">
        <f t="shared" si="13"/>
        <v>100700</v>
      </c>
      <c r="AU62" s="443" t="s">
        <v>118</v>
      </c>
      <c r="AV62" s="20">
        <f t="shared" si="51"/>
        <v>0</v>
      </c>
    </row>
    <row r="63" spans="1:48" s="4" customFormat="1" ht="33" customHeight="1" x14ac:dyDescent="0.2">
      <c r="A63" s="651"/>
      <c r="B63" s="544">
        <v>59</v>
      </c>
      <c r="C63" s="598"/>
      <c r="D63" s="194" t="s">
        <v>526</v>
      </c>
      <c r="E63" s="195" t="s">
        <v>527</v>
      </c>
      <c r="F63" s="196" t="s">
        <v>86</v>
      </c>
      <c r="G63" s="197" t="s">
        <v>197</v>
      </c>
      <c r="H63" s="198">
        <v>47814381</v>
      </c>
      <c r="I63" s="198" t="s">
        <v>277</v>
      </c>
      <c r="J63" s="198" t="s">
        <v>241</v>
      </c>
      <c r="K63" s="198" t="s">
        <v>242</v>
      </c>
      <c r="L63" s="240">
        <v>200000</v>
      </c>
      <c r="M63" s="199">
        <v>780000</v>
      </c>
      <c r="N63" s="561" t="s">
        <v>753</v>
      </c>
      <c r="O63" s="239">
        <f t="shared" si="14"/>
        <v>769</v>
      </c>
      <c r="P63" s="201">
        <f t="shared" si="57"/>
        <v>211</v>
      </c>
      <c r="Q63" s="202">
        <v>0</v>
      </c>
      <c r="R63" s="203">
        <v>120</v>
      </c>
      <c r="S63" s="204">
        <v>91</v>
      </c>
      <c r="T63" s="205">
        <f t="shared" si="58"/>
        <v>558</v>
      </c>
      <c r="U63" s="202">
        <v>0</v>
      </c>
      <c r="V63" s="203">
        <v>19</v>
      </c>
      <c r="W63" s="204">
        <v>539</v>
      </c>
      <c r="X63" s="209">
        <f t="shared" si="59"/>
        <v>9</v>
      </c>
      <c r="Y63" s="203">
        <v>9</v>
      </c>
      <c r="Z63" s="201">
        <v>0</v>
      </c>
      <c r="AA63" s="208">
        <f t="shared" si="10"/>
        <v>780000</v>
      </c>
      <c r="AB63" s="209">
        <f t="shared" si="60"/>
        <v>468000</v>
      </c>
      <c r="AC63" s="203">
        <v>83000</v>
      </c>
      <c r="AD63" s="93">
        <f t="shared" si="18"/>
        <v>171.2</v>
      </c>
      <c r="AE63" s="210">
        <f t="shared" si="44"/>
        <v>1031.8336233325049</v>
      </c>
      <c r="AF63" s="211">
        <f t="shared" si="45"/>
        <v>176649.91631452483</v>
      </c>
      <c r="AG63" s="212">
        <f t="shared" si="46"/>
        <v>125.7</v>
      </c>
      <c r="AH63" s="212">
        <f t="shared" si="52"/>
        <v>166.93376068376071</v>
      </c>
      <c r="AI63" s="213">
        <f t="shared" si="20"/>
        <v>20983.573717948722</v>
      </c>
      <c r="AJ63" s="214">
        <f t="shared" si="47"/>
        <v>9</v>
      </c>
      <c r="AK63" s="191">
        <f t="shared" si="5"/>
        <v>1831.5018315018315</v>
      </c>
      <c r="AL63" s="190">
        <f t="shared" si="11"/>
        <v>16483.516483516483</v>
      </c>
      <c r="AM63" s="211">
        <v>10000</v>
      </c>
      <c r="AN63" s="203">
        <v>0</v>
      </c>
      <c r="AO63" s="203">
        <f t="shared" si="21"/>
        <v>224117.00651599004</v>
      </c>
      <c r="AP63" s="211">
        <f t="shared" si="48"/>
        <v>224117.00651599004</v>
      </c>
      <c r="AQ63" s="215">
        <f t="shared" si="49"/>
        <v>171.2</v>
      </c>
      <c r="AR63" s="211">
        <f t="shared" si="50"/>
        <v>4112.8354593552949</v>
      </c>
      <c r="AS63" s="216">
        <f t="shared" si="8"/>
        <v>228229.84197534533</v>
      </c>
      <c r="AT63" s="429">
        <f t="shared" si="13"/>
        <v>228200</v>
      </c>
      <c r="AU63" s="443" t="s">
        <v>86</v>
      </c>
      <c r="AV63" s="20">
        <f t="shared" si="51"/>
        <v>0</v>
      </c>
    </row>
    <row r="64" spans="1:48" s="4" customFormat="1" ht="33" customHeight="1" x14ac:dyDescent="0.2">
      <c r="A64" s="651"/>
      <c r="B64" s="544">
        <v>60</v>
      </c>
      <c r="C64" s="598"/>
      <c r="D64" s="194" t="s">
        <v>528</v>
      </c>
      <c r="E64" s="195" t="s">
        <v>529</v>
      </c>
      <c r="F64" s="196" t="s">
        <v>115</v>
      </c>
      <c r="G64" s="197" t="s">
        <v>197</v>
      </c>
      <c r="H64" s="198">
        <v>14616190</v>
      </c>
      <c r="I64" s="198" t="s">
        <v>285</v>
      </c>
      <c r="J64" s="198" t="s">
        <v>286</v>
      </c>
      <c r="K64" s="198" t="s">
        <v>287</v>
      </c>
      <c r="L64" s="240">
        <v>125000</v>
      </c>
      <c r="M64" s="199">
        <v>470000</v>
      </c>
      <c r="N64" s="561" t="s">
        <v>754</v>
      </c>
      <c r="O64" s="239">
        <f t="shared" si="14"/>
        <v>120</v>
      </c>
      <c r="P64" s="201">
        <f t="shared" si="57"/>
        <v>52</v>
      </c>
      <c r="Q64" s="202">
        <v>0</v>
      </c>
      <c r="R64" s="203">
        <v>22</v>
      </c>
      <c r="S64" s="204">
        <v>30</v>
      </c>
      <c r="T64" s="205">
        <f t="shared" si="58"/>
        <v>68</v>
      </c>
      <c r="U64" s="202">
        <v>0</v>
      </c>
      <c r="V64" s="203">
        <v>42</v>
      </c>
      <c r="W64" s="204">
        <v>26</v>
      </c>
      <c r="X64" s="209">
        <f t="shared" si="59"/>
        <v>5</v>
      </c>
      <c r="Y64" s="203">
        <v>3</v>
      </c>
      <c r="Z64" s="201">
        <v>2</v>
      </c>
      <c r="AA64" s="208">
        <f t="shared" si="10"/>
        <v>470000</v>
      </c>
      <c r="AB64" s="209">
        <f t="shared" si="60"/>
        <v>282000</v>
      </c>
      <c r="AC64" s="203">
        <v>75100</v>
      </c>
      <c r="AD64" s="93">
        <f t="shared" si="18"/>
        <v>49.6</v>
      </c>
      <c r="AE64" s="210">
        <f t="shared" si="44"/>
        <v>1031.8336233325049</v>
      </c>
      <c r="AF64" s="211">
        <f t="shared" si="45"/>
        <v>51178.947717292242</v>
      </c>
      <c r="AG64" s="212">
        <f t="shared" si="46"/>
        <v>34.6</v>
      </c>
      <c r="AH64" s="212">
        <f t="shared" si="52"/>
        <v>166.93376068376071</v>
      </c>
      <c r="AI64" s="213">
        <f t="shared" si="20"/>
        <v>5775.908119658121</v>
      </c>
      <c r="AJ64" s="214">
        <f t="shared" si="47"/>
        <v>3</v>
      </c>
      <c r="AK64" s="191">
        <f t="shared" si="5"/>
        <v>1831.5018315018315</v>
      </c>
      <c r="AL64" s="190">
        <f t="shared" si="11"/>
        <v>5494.5054945054944</v>
      </c>
      <c r="AM64" s="211">
        <v>10000</v>
      </c>
      <c r="AN64" s="203">
        <v>0</v>
      </c>
      <c r="AO64" s="203">
        <f t="shared" si="21"/>
        <v>72449.361331455846</v>
      </c>
      <c r="AP64" s="211">
        <f t="shared" si="48"/>
        <v>72449.361331455846</v>
      </c>
      <c r="AQ64" s="215">
        <f t="shared" si="49"/>
        <v>49.6</v>
      </c>
      <c r="AR64" s="211">
        <f t="shared" si="50"/>
        <v>1191.5691517758332</v>
      </c>
      <c r="AS64" s="216">
        <f t="shared" si="8"/>
        <v>73640.930483231685</v>
      </c>
      <c r="AT64" s="429">
        <f t="shared" si="13"/>
        <v>73600</v>
      </c>
      <c r="AU64" s="443" t="s">
        <v>115</v>
      </c>
      <c r="AV64" s="20">
        <f t="shared" si="51"/>
        <v>0</v>
      </c>
    </row>
    <row r="65" spans="1:48" s="4" customFormat="1" ht="33" customHeight="1" x14ac:dyDescent="0.2">
      <c r="A65" s="651"/>
      <c r="B65" s="544">
        <v>61</v>
      </c>
      <c r="C65" s="598"/>
      <c r="D65" s="194" t="s">
        <v>536</v>
      </c>
      <c r="E65" s="195" t="s">
        <v>537</v>
      </c>
      <c r="F65" s="196" t="s">
        <v>72</v>
      </c>
      <c r="G65" s="197" t="s">
        <v>197</v>
      </c>
      <c r="H65" s="198">
        <v>47811005</v>
      </c>
      <c r="I65" s="198" t="s">
        <v>296</v>
      </c>
      <c r="J65" s="198" t="s">
        <v>241</v>
      </c>
      <c r="K65" s="198" t="s">
        <v>242</v>
      </c>
      <c r="L65" s="240">
        <v>170000</v>
      </c>
      <c r="M65" s="199">
        <v>735000</v>
      </c>
      <c r="N65" s="561" t="s">
        <v>755</v>
      </c>
      <c r="O65" s="239">
        <f t="shared" si="14"/>
        <v>98</v>
      </c>
      <c r="P65" s="201">
        <f t="shared" si="57"/>
        <v>72</v>
      </c>
      <c r="Q65" s="202">
        <v>2</v>
      </c>
      <c r="R65" s="203">
        <v>70</v>
      </c>
      <c r="S65" s="204">
        <v>0</v>
      </c>
      <c r="T65" s="205">
        <f t="shared" si="58"/>
        <v>26</v>
      </c>
      <c r="U65" s="202">
        <v>0</v>
      </c>
      <c r="V65" s="203">
        <v>19</v>
      </c>
      <c r="W65" s="204">
        <v>7</v>
      </c>
      <c r="X65" s="209">
        <f t="shared" si="59"/>
        <v>7</v>
      </c>
      <c r="Y65" s="203">
        <v>7</v>
      </c>
      <c r="Z65" s="201">
        <v>0</v>
      </c>
      <c r="AA65" s="208">
        <f t="shared" si="10"/>
        <v>735000</v>
      </c>
      <c r="AB65" s="209">
        <f t="shared" si="60"/>
        <v>441000</v>
      </c>
      <c r="AC65" s="203">
        <v>209000</v>
      </c>
      <c r="AD65" s="93">
        <f t="shared" si="18"/>
        <v>75.7</v>
      </c>
      <c r="AE65" s="210">
        <f t="shared" si="44"/>
        <v>1031.8336233325049</v>
      </c>
      <c r="AF65" s="211">
        <f t="shared" si="45"/>
        <v>78109.805286270624</v>
      </c>
      <c r="AG65" s="212">
        <f t="shared" si="46"/>
        <v>75.7</v>
      </c>
      <c r="AH65" s="212">
        <f t="shared" si="52"/>
        <v>166.93376068376071</v>
      </c>
      <c r="AI65" s="213">
        <f t="shared" si="20"/>
        <v>12636.885683760685</v>
      </c>
      <c r="AJ65" s="214">
        <f t="shared" si="47"/>
        <v>7</v>
      </c>
      <c r="AK65" s="191">
        <f t="shared" si="5"/>
        <v>1831.5018315018315</v>
      </c>
      <c r="AL65" s="190">
        <f t="shared" si="11"/>
        <v>12820.51282051282</v>
      </c>
      <c r="AM65" s="211">
        <v>10000</v>
      </c>
      <c r="AN65" s="203">
        <v>0</v>
      </c>
      <c r="AO65" s="203">
        <f t="shared" si="21"/>
        <v>113567.20379054412</v>
      </c>
      <c r="AP65" s="211">
        <f t="shared" si="48"/>
        <v>113567.20379054412</v>
      </c>
      <c r="AQ65" s="215">
        <f t="shared" si="49"/>
        <v>75.7</v>
      </c>
      <c r="AR65" s="211">
        <f t="shared" si="50"/>
        <v>1818.5843707546487</v>
      </c>
      <c r="AS65" s="216">
        <f t="shared" si="8"/>
        <v>115385.78816129877</v>
      </c>
      <c r="AT65" s="429">
        <f t="shared" si="13"/>
        <v>115400</v>
      </c>
      <c r="AU65" s="443" t="s">
        <v>72</v>
      </c>
      <c r="AV65" s="20">
        <f t="shared" si="51"/>
        <v>0</v>
      </c>
    </row>
    <row r="66" spans="1:48" s="7" customFormat="1" ht="33" customHeight="1" x14ac:dyDescent="0.2">
      <c r="A66" s="651"/>
      <c r="B66" s="544">
        <v>62</v>
      </c>
      <c r="C66" s="598"/>
      <c r="D66" s="194" t="s">
        <v>545</v>
      </c>
      <c r="E66" s="195" t="s">
        <v>546</v>
      </c>
      <c r="F66" s="196" t="s">
        <v>547</v>
      </c>
      <c r="G66" s="197" t="s">
        <v>197</v>
      </c>
      <c r="H66" s="198">
        <v>27028216</v>
      </c>
      <c r="I66" s="198" t="s">
        <v>548</v>
      </c>
      <c r="J66" s="198" t="s">
        <v>241</v>
      </c>
      <c r="K66" s="198" t="s">
        <v>242</v>
      </c>
      <c r="L66" s="240">
        <v>18000</v>
      </c>
      <c r="M66" s="199">
        <v>81000</v>
      </c>
      <c r="N66" s="561" t="s">
        <v>756</v>
      </c>
      <c r="O66" s="239">
        <f t="shared" ref="O66:O103" si="61">+P66+T66</f>
        <v>15</v>
      </c>
      <c r="P66" s="201">
        <f t="shared" si="57"/>
        <v>2</v>
      </c>
      <c r="Q66" s="202">
        <v>0</v>
      </c>
      <c r="R66" s="203">
        <v>0</v>
      </c>
      <c r="S66" s="204">
        <v>2</v>
      </c>
      <c r="T66" s="205">
        <f t="shared" si="58"/>
        <v>13</v>
      </c>
      <c r="U66" s="202">
        <v>0</v>
      </c>
      <c r="V66" s="203">
        <v>1</v>
      </c>
      <c r="W66" s="204">
        <v>12</v>
      </c>
      <c r="X66" s="209">
        <f t="shared" si="59"/>
        <v>1</v>
      </c>
      <c r="Y66" s="203">
        <v>1</v>
      </c>
      <c r="Z66" s="201">
        <v>0</v>
      </c>
      <c r="AA66" s="208">
        <f t="shared" si="10"/>
        <v>81000</v>
      </c>
      <c r="AB66" s="209">
        <f t="shared" si="60"/>
        <v>48600</v>
      </c>
      <c r="AC66" s="203">
        <v>1200</v>
      </c>
      <c r="AD66" s="93">
        <f t="shared" ref="AD66:AD85" si="62">(Q66*0)+(R66*1)+(S66*0.5)+(U66*0)+(V66*0.3)+(W66*0)</f>
        <v>1.3</v>
      </c>
      <c r="AE66" s="210">
        <f t="shared" ref="AE66:AE90" si="63">čLENN/_BOD1</f>
        <v>1031.8336233325049</v>
      </c>
      <c r="AF66" s="211">
        <f t="shared" ref="AF66:AF90" si="64">AD66*AE66</f>
        <v>1341.3837103322564</v>
      </c>
      <c r="AG66" s="212">
        <f t="shared" ref="AG66:AG85" si="65">(R66*1)+(V66*0.3)</f>
        <v>0.3</v>
      </c>
      <c r="AH66" s="212">
        <f t="shared" ref="AH66:AH90" si="66">celkemdeti/deti</f>
        <v>166.93376068376071</v>
      </c>
      <c r="AI66" s="213">
        <f t="shared" ref="AI66:AI90" si="67">AG66*AH66</f>
        <v>50.080128205128212</v>
      </c>
      <c r="AJ66" s="214">
        <f t="shared" ref="AJ66:AJ83" si="68">Y66</f>
        <v>1</v>
      </c>
      <c r="AK66" s="191">
        <f t="shared" si="5"/>
        <v>1831.5018315018315</v>
      </c>
      <c r="AL66" s="190">
        <f t="shared" si="11"/>
        <v>1831.5018315018315</v>
      </c>
      <c r="AM66" s="211">
        <v>10000</v>
      </c>
      <c r="AN66" s="203">
        <v>0</v>
      </c>
      <c r="AO66" s="203">
        <f t="shared" ref="AO66:AO90" si="69">AF66+AI66+AL66+AM66</f>
        <v>13222.965670039215</v>
      </c>
      <c r="AP66" s="211">
        <f t="shared" ref="AP66:AP90" si="70">IF(AV66=1,AB66,AO66)</f>
        <v>13222.965670039215</v>
      </c>
      <c r="AQ66" s="215">
        <f t="shared" si="49"/>
        <v>1.3</v>
      </c>
      <c r="AR66" s="211">
        <f t="shared" ref="AR66:AR90" si="71">(Zůstatek/členovéstrop)*AQ66</f>
        <v>31.230643090898855</v>
      </c>
      <c r="AS66" s="216">
        <f t="shared" ref="AS66:AS90" si="72">AP66+AR66</f>
        <v>13254.196313130115</v>
      </c>
      <c r="AT66" s="429">
        <f t="shared" si="13"/>
        <v>13300</v>
      </c>
      <c r="AU66" s="444" t="s">
        <v>547</v>
      </c>
      <c r="AV66" s="20">
        <f t="shared" ref="AV66:AV90" si="73">IF(AB66&gt;=AO66,0,1)</f>
        <v>0</v>
      </c>
    </row>
    <row r="67" spans="1:48" s="7" customFormat="1" ht="33" customHeight="1" x14ac:dyDescent="0.2">
      <c r="A67" s="651"/>
      <c r="B67" s="544">
        <v>63</v>
      </c>
      <c r="C67" s="598"/>
      <c r="D67" s="194" t="s">
        <v>549</v>
      </c>
      <c r="E67" s="195" t="s">
        <v>550</v>
      </c>
      <c r="F67" s="196" t="s">
        <v>47</v>
      </c>
      <c r="G67" s="197" t="s">
        <v>197</v>
      </c>
      <c r="H67" s="198">
        <v>70630445</v>
      </c>
      <c r="I67" s="198" t="s">
        <v>551</v>
      </c>
      <c r="J67" s="198" t="s">
        <v>241</v>
      </c>
      <c r="K67" s="198" t="s">
        <v>242</v>
      </c>
      <c r="L67" s="240">
        <v>40000</v>
      </c>
      <c r="M67" s="199">
        <v>102000</v>
      </c>
      <c r="N67" s="561" t="s">
        <v>757</v>
      </c>
      <c r="O67" s="239">
        <f t="shared" si="61"/>
        <v>68</v>
      </c>
      <c r="P67" s="201">
        <f t="shared" si="57"/>
        <v>11</v>
      </c>
      <c r="Q67" s="202">
        <v>0</v>
      </c>
      <c r="R67" s="203">
        <v>11</v>
      </c>
      <c r="S67" s="204">
        <v>0</v>
      </c>
      <c r="T67" s="205">
        <f t="shared" si="58"/>
        <v>57</v>
      </c>
      <c r="U67" s="202">
        <v>0</v>
      </c>
      <c r="V67" s="203">
        <v>45</v>
      </c>
      <c r="W67" s="204">
        <v>12</v>
      </c>
      <c r="X67" s="209">
        <f t="shared" si="59"/>
        <v>0</v>
      </c>
      <c r="Y67" s="203">
        <v>0</v>
      </c>
      <c r="Z67" s="201">
        <v>0</v>
      </c>
      <c r="AA67" s="208">
        <f t="shared" si="10"/>
        <v>102000</v>
      </c>
      <c r="AB67" s="209">
        <f t="shared" si="60"/>
        <v>61200</v>
      </c>
      <c r="AC67" s="203">
        <v>9000</v>
      </c>
      <c r="AD67" s="93">
        <f t="shared" si="62"/>
        <v>24.5</v>
      </c>
      <c r="AE67" s="210">
        <f t="shared" si="63"/>
        <v>1031.8336233325049</v>
      </c>
      <c r="AF67" s="211">
        <f t="shared" si="64"/>
        <v>25279.923771646369</v>
      </c>
      <c r="AG67" s="212">
        <f t="shared" si="65"/>
        <v>24.5</v>
      </c>
      <c r="AH67" s="212">
        <f t="shared" si="66"/>
        <v>166.93376068376071</v>
      </c>
      <c r="AI67" s="213">
        <f t="shared" si="67"/>
        <v>4089.8771367521372</v>
      </c>
      <c r="AJ67" s="214">
        <f t="shared" si="68"/>
        <v>0</v>
      </c>
      <c r="AK67" s="191">
        <f t="shared" si="5"/>
        <v>1831.5018315018315</v>
      </c>
      <c r="AL67" s="190">
        <f t="shared" si="11"/>
        <v>0</v>
      </c>
      <c r="AM67" s="211">
        <v>10000</v>
      </c>
      <c r="AN67" s="203">
        <v>0</v>
      </c>
      <c r="AO67" s="203">
        <f t="shared" si="69"/>
        <v>39369.800908398509</v>
      </c>
      <c r="AP67" s="211">
        <f t="shared" si="70"/>
        <v>39369.800908398509</v>
      </c>
      <c r="AQ67" s="215">
        <f t="shared" si="49"/>
        <v>24.5</v>
      </c>
      <c r="AR67" s="211">
        <f t="shared" si="71"/>
        <v>588.57750440540144</v>
      </c>
      <c r="AS67" s="216">
        <f t="shared" si="72"/>
        <v>39958.378412803911</v>
      </c>
      <c r="AT67" s="429">
        <f t="shared" si="13"/>
        <v>40000</v>
      </c>
      <c r="AU67" s="444" t="s">
        <v>47</v>
      </c>
      <c r="AV67" s="20">
        <f t="shared" si="73"/>
        <v>0</v>
      </c>
    </row>
    <row r="68" spans="1:48" s="7" customFormat="1" ht="33" customHeight="1" x14ac:dyDescent="0.2">
      <c r="A68" s="651"/>
      <c r="B68" s="544">
        <v>64</v>
      </c>
      <c r="C68" s="598"/>
      <c r="D68" s="194" t="s">
        <v>558</v>
      </c>
      <c r="E68" s="195" t="s">
        <v>559</v>
      </c>
      <c r="F68" s="196" t="s">
        <v>48</v>
      </c>
      <c r="G68" s="197" t="s">
        <v>197</v>
      </c>
      <c r="H68" s="198">
        <v>68177461</v>
      </c>
      <c r="I68" s="198" t="s">
        <v>299</v>
      </c>
      <c r="J68" s="198" t="s">
        <v>241</v>
      </c>
      <c r="K68" s="198" t="s">
        <v>242</v>
      </c>
      <c r="L68" s="240">
        <v>61000</v>
      </c>
      <c r="M68" s="199">
        <v>212000</v>
      </c>
      <c r="N68" s="561" t="s">
        <v>758</v>
      </c>
      <c r="O68" s="239">
        <f t="shared" si="61"/>
        <v>127</v>
      </c>
      <c r="P68" s="201">
        <f t="shared" si="57"/>
        <v>25</v>
      </c>
      <c r="Q68" s="202">
        <v>0</v>
      </c>
      <c r="R68" s="203">
        <v>25</v>
      </c>
      <c r="S68" s="204">
        <v>0</v>
      </c>
      <c r="T68" s="205">
        <f t="shared" si="58"/>
        <v>102</v>
      </c>
      <c r="U68" s="202">
        <v>0</v>
      </c>
      <c r="V68" s="203">
        <v>27</v>
      </c>
      <c r="W68" s="204">
        <v>75</v>
      </c>
      <c r="X68" s="209">
        <f t="shared" si="59"/>
        <v>2</v>
      </c>
      <c r="Y68" s="203">
        <v>2</v>
      </c>
      <c r="Z68" s="201">
        <v>0</v>
      </c>
      <c r="AA68" s="208">
        <f t="shared" si="10"/>
        <v>212000</v>
      </c>
      <c r="AB68" s="209">
        <f t="shared" si="60"/>
        <v>127200</v>
      </c>
      <c r="AC68" s="203">
        <v>104000</v>
      </c>
      <c r="AD68" s="93">
        <f t="shared" si="62"/>
        <v>33.1</v>
      </c>
      <c r="AE68" s="210">
        <f t="shared" si="63"/>
        <v>1031.8336233325049</v>
      </c>
      <c r="AF68" s="211">
        <f t="shared" si="64"/>
        <v>34153.692932305916</v>
      </c>
      <c r="AG68" s="212">
        <f t="shared" si="65"/>
        <v>33.1</v>
      </c>
      <c r="AH68" s="212">
        <f t="shared" si="66"/>
        <v>166.93376068376071</v>
      </c>
      <c r="AI68" s="213">
        <f t="shared" si="67"/>
        <v>5525.5074786324794</v>
      </c>
      <c r="AJ68" s="214">
        <f t="shared" si="68"/>
        <v>2</v>
      </c>
      <c r="AK68" s="191">
        <f t="shared" si="5"/>
        <v>1831.5018315018315</v>
      </c>
      <c r="AL68" s="190">
        <f t="shared" si="11"/>
        <v>3663.003663003663</v>
      </c>
      <c r="AM68" s="211">
        <v>10000</v>
      </c>
      <c r="AN68" s="203">
        <v>0</v>
      </c>
      <c r="AO68" s="203">
        <f t="shared" si="69"/>
        <v>53342.204073942055</v>
      </c>
      <c r="AP68" s="211">
        <f t="shared" si="70"/>
        <v>53342.204073942055</v>
      </c>
      <c r="AQ68" s="215">
        <f t="shared" si="49"/>
        <v>33.1</v>
      </c>
      <c r="AR68" s="211">
        <f t="shared" si="71"/>
        <v>795.18022023750166</v>
      </c>
      <c r="AS68" s="216">
        <f t="shared" si="72"/>
        <v>54137.384294179559</v>
      </c>
      <c r="AT68" s="429">
        <f t="shared" si="13"/>
        <v>54100</v>
      </c>
      <c r="AU68" s="444" t="s">
        <v>48</v>
      </c>
      <c r="AV68" s="20">
        <f t="shared" si="73"/>
        <v>0</v>
      </c>
    </row>
    <row r="69" spans="1:48" s="7" customFormat="1" ht="33" customHeight="1" x14ac:dyDescent="0.2">
      <c r="A69" s="651"/>
      <c r="B69" s="544">
        <v>65</v>
      </c>
      <c r="C69" s="598"/>
      <c r="D69" s="194" t="s">
        <v>560</v>
      </c>
      <c r="E69" s="195" t="s">
        <v>561</v>
      </c>
      <c r="F69" s="196" t="s">
        <v>50</v>
      </c>
      <c r="G69" s="197" t="s">
        <v>197</v>
      </c>
      <c r="H69" s="198">
        <v>22718214</v>
      </c>
      <c r="I69" s="198" t="s">
        <v>280</v>
      </c>
      <c r="J69" s="198" t="s">
        <v>281</v>
      </c>
      <c r="K69" s="198" t="s">
        <v>282</v>
      </c>
      <c r="L69" s="240">
        <v>180000</v>
      </c>
      <c r="M69" s="199">
        <v>700000</v>
      </c>
      <c r="N69" s="561" t="s">
        <v>759</v>
      </c>
      <c r="O69" s="239">
        <f t="shared" si="61"/>
        <v>369</v>
      </c>
      <c r="P69" s="201">
        <f t="shared" si="57"/>
        <v>9</v>
      </c>
      <c r="Q69" s="202">
        <v>0</v>
      </c>
      <c r="R69" s="203">
        <v>0</v>
      </c>
      <c r="S69" s="204">
        <v>9</v>
      </c>
      <c r="T69" s="205">
        <f t="shared" si="58"/>
        <v>360</v>
      </c>
      <c r="U69" s="202">
        <v>0</v>
      </c>
      <c r="V69" s="203">
        <v>346</v>
      </c>
      <c r="W69" s="204">
        <v>14</v>
      </c>
      <c r="X69" s="209">
        <f t="shared" si="59"/>
        <v>14</v>
      </c>
      <c r="Y69" s="203">
        <v>14</v>
      </c>
      <c r="Z69" s="201">
        <v>0</v>
      </c>
      <c r="AA69" s="208">
        <f t="shared" si="10"/>
        <v>700000</v>
      </c>
      <c r="AB69" s="209">
        <f t="shared" si="60"/>
        <v>420000</v>
      </c>
      <c r="AC69" s="203">
        <v>76000</v>
      </c>
      <c r="AD69" s="93">
        <f t="shared" si="62"/>
        <v>108.3</v>
      </c>
      <c r="AE69" s="210">
        <f t="shared" si="63"/>
        <v>1031.8336233325049</v>
      </c>
      <c r="AF69" s="211">
        <f t="shared" si="64"/>
        <v>111747.58140691028</v>
      </c>
      <c r="AG69" s="212">
        <f t="shared" si="65"/>
        <v>103.8</v>
      </c>
      <c r="AH69" s="212">
        <f t="shared" si="66"/>
        <v>166.93376068376071</v>
      </c>
      <c r="AI69" s="213">
        <f t="shared" si="67"/>
        <v>17327.724358974363</v>
      </c>
      <c r="AJ69" s="214">
        <f t="shared" si="68"/>
        <v>14</v>
      </c>
      <c r="AK69" s="191">
        <f t="shared" ref="AK69:AK90" si="74">celkemtrener/TRENER</f>
        <v>1831.5018315018315</v>
      </c>
      <c r="AL69" s="190">
        <f t="shared" si="11"/>
        <v>25641.025641025641</v>
      </c>
      <c r="AM69" s="211">
        <v>10000</v>
      </c>
      <c r="AN69" s="203">
        <v>0</v>
      </c>
      <c r="AO69" s="203">
        <f t="shared" si="69"/>
        <v>164716.33140691026</v>
      </c>
      <c r="AP69" s="211">
        <f t="shared" si="70"/>
        <v>164716.33140691026</v>
      </c>
      <c r="AQ69" s="215">
        <f t="shared" si="49"/>
        <v>108.3</v>
      </c>
      <c r="AR69" s="211">
        <f t="shared" si="71"/>
        <v>2601.7528051879581</v>
      </c>
      <c r="AS69" s="216">
        <f t="shared" si="72"/>
        <v>167318.08421209821</v>
      </c>
      <c r="AT69" s="429">
        <f t="shared" si="13"/>
        <v>167300</v>
      </c>
      <c r="AU69" s="444" t="s">
        <v>50</v>
      </c>
      <c r="AV69" s="20">
        <f t="shared" si="73"/>
        <v>0</v>
      </c>
    </row>
    <row r="70" spans="1:48" s="7" customFormat="1" ht="33" customHeight="1" x14ac:dyDescent="0.2">
      <c r="A70" s="651"/>
      <c r="B70" s="544">
        <v>66</v>
      </c>
      <c r="C70" s="598"/>
      <c r="D70" s="194" t="s">
        <v>567</v>
      </c>
      <c r="E70" s="195" t="s">
        <v>568</v>
      </c>
      <c r="F70" s="196" t="s">
        <v>90</v>
      </c>
      <c r="G70" s="197" t="s">
        <v>197</v>
      </c>
      <c r="H70" s="198" t="s">
        <v>89</v>
      </c>
      <c r="I70" s="198" t="s">
        <v>569</v>
      </c>
      <c r="J70" s="198" t="s">
        <v>241</v>
      </c>
      <c r="K70" s="198" t="s">
        <v>242</v>
      </c>
      <c r="L70" s="240">
        <v>125000</v>
      </c>
      <c r="M70" s="199">
        <v>1086000</v>
      </c>
      <c r="N70" s="561" t="s">
        <v>760</v>
      </c>
      <c r="O70" s="239">
        <f t="shared" si="61"/>
        <v>261</v>
      </c>
      <c r="P70" s="201">
        <f t="shared" si="57"/>
        <v>147</v>
      </c>
      <c r="Q70" s="202">
        <v>0</v>
      </c>
      <c r="R70" s="203">
        <v>36</v>
      </c>
      <c r="S70" s="204">
        <v>111</v>
      </c>
      <c r="T70" s="205">
        <f t="shared" si="58"/>
        <v>114</v>
      </c>
      <c r="U70" s="202">
        <v>4</v>
      </c>
      <c r="V70" s="203">
        <v>42</v>
      </c>
      <c r="W70" s="204">
        <v>68</v>
      </c>
      <c r="X70" s="209">
        <f t="shared" si="59"/>
        <v>7</v>
      </c>
      <c r="Y70" s="203">
        <v>7</v>
      </c>
      <c r="Z70" s="201">
        <v>0</v>
      </c>
      <c r="AA70" s="208">
        <f t="shared" ref="AA70:AA90" si="75">M70</f>
        <v>1086000</v>
      </c>
      <c r="AB70" s="209">
        <f t="shared" si="60"/>
        <v>651600</v>
      </c>
      <c r="AC70" s="203">
        <v>184000</v>
      </c>
      <c r="AD70" s="93">
        <f t="shared" si="62"/>
        <v>104.1</v>
      </c>
      <c r="AE70" s="210">
        <f t="shared" si="63"/>
        <v>1031.8336233325049</v>
      </c>
      <c r="AF70" s="211">
        <f t="shared" si="64"/>
        <v>107413.88018891375</v>
      </c>
      <c r="AG70" s="212">
        <f t="shared" si="65"/>
        <v>48.6</v>
      </c>
      <c r="AH70" s="212">
        <f t="shared" si="66"/>
        <v>166.93376068376071</v>
      </c>
      <c r="AI70" s="213">
        <f t="shared" si="67"/>
        <v>8112.9807692307704</v>
      </c>
      <c r="AJ70" s="214">
        <f t="shared" si="68"/>
        <v>7</v>
      </c>
      <c r="AK70" s="191">
        <f t="shared" si="74"/>
        <v>1831.5018315018315</v>
      </c>
      <c r="AL70" s="190">
        <f t="shared" ref="AL70:AL90" si="76">AJ70*AK70</f>
        <v>12820.51282051282</v>
      </c>
      <c r="AM70" s="211">
        <v>10000</v>
      </c>
      <c r="AN70" s="203">
        <v>0</v>
      </c>
      <c r="AO70" s="203">
        <f t="shared" si="69"/>
        <v>138347.37377865735</v>
      </c>
      <c r="AP70" s="211">
        <f t="shared" si="70"/>
        <v>138347.37377865735</v>
      </c>
      <c r="AQ70" s="215">
        <f t="shared" si="49"/>
        <v>104.1</v>
      </c>
      <c r="AR70" s="211">
        <f t="shared" si="71"/>
        <v>2500.8538044327465</v>
      </c>
      <c r="AS70" s="216">
        <f t="shared" si="72"/>
        <v>140848.22758309011</v>
      </c>
      <c r="AT70" s="429">
        <f t="shared" ref="AT70:AT90" si="77">ROUND(AS70,-2)</f>
        <v>140800</v>
      </c>
      <c r="AU70" s="444" t="s">
        <v>90</v>
      </c>
      <c r="AV70" s="20">
        <f t="shared" si="73"/>
        <v>0</v>
      </c>
    </row>
    <row r="71" spans="1:48" s="7" customFormat="1" ht="45.75" customHeight="1" x14ac:dyDescent="0.2">
      <c r="A71" s="651"/>
      <c r="B71" s="544">
        <v>67</v>
      </c>
      <c r="C71" s="598"/>
      <c r="D71" s="194" t="s">
        <v>570</v>
      </c>
      <c r="E71" s="195" t="s">
        <v>571</v>
      </c>
      <c r="F71" s="196" t="s">
        <v>58</v>
      </c>
      <c r="G71" s="197" t="s">
        <v>197</v>
      </c>
      <c r="H71" s="198">
        <v>26994143</v>
      </c>
      <c r="I71" s="198" t="s">
        <v>467</v>
      </c>
      <c r="J71" s="198" t="s">
        <v>241</v>
      </c>
      <c r="K71" s="198" t="s">
        <v>242</v>
      </c>
      <c r="L71" s="240">
        <v>85000</v>
      </c>
      <c r="M71" s="199">
        <v>175000</v>
      </c>
      <c r="N71" s="561" t="s">
        <v>761</v>
      </c>
      <c r="O71" s="239">
        <f t="shared" si="61"/>
        <v>159</v>
      </c>
      <c r="P71" s="201">
        <f t="shared" si="57"/>
        <v>143</v>
      </c>
      <c r="Q71" s="202">
        <v>0</v>
      </c>
      <c r="R71" s="203">
        <v>1</v>
      </c>
      <c r="S71" s="204">
        <v>142</v>
      </c>
      <c r="T71" s="205">
        <f t="shared" si="58"/>
        <v>16</v>
      </c>
      <c r="U71" s="202">
        <v>0</v>
      </c>
      <c r="V71" s="203">
        <v>0</v>
      </c>
      <c r="W71" s="204">
        <v>16</v>
      </c>
      <c r="X71" s="209">
        <f t="shared" si="59"/>
        <v>3</v>
      </c>
      <c r="Y71" s="203">
        <v>3</v>
      </c>
      <c r="Z71" s="201">
        <v>0</v>
      </c>
      <c r="AA71" s="208">
        <f t="shared" si="75"/>
        <v>175000</v>
      </c>
      <c r="AB71" s="209">
        <f t="shared" si="60"/>
        <v>105000</v>
      </c>
      <c r="AC71" s="203">
        <v>18000</v>
      </c>
      <c r="AD71" s="93">
        <f t="shared" si="62"/>
        <v>72</v>
      </c>
      <c r="AE71" s="210">
        <f t="shared" si="63"/>
        <v>1031.8336233325049</v>
      </c>
      <c r="AF71" s="211">
        <f t="shared" si="64"/>
        <v>74292.020879940348</v>
      </c>
      <c r="AG71" s="212">
        <f t="shared" si="65"/>
        <v>1</v>
      </c>
      <c r="AH71" s="212">
        <f t="shared" si="66"/>
        <v>166.93376068376071</v>
      </c>
      <c r="AI71" s="213">
        <f t="shared" si="67"/>
        <v>166.93376068376071</v>
      </c>
      <c r="AJ71" s="214">
        <f t="shared" si="68"/>
        <v>3</v>
      </c>
      <c r="AK71" s="191">
        <f t="shared" si="74"/>
        <v>1831.5018315018315</v>
      </c>
      <c r="AL71" s="190">
        <f t="shared" si="76"/>
        <v>5494.5054945054944</v>
      </c>
      <c r="AM71" s="211">
        <v>10000</v>
      </c>
      <c r="AN71" s="203">
        <v>0</v>
      </c>
      <c r="AO71" s="203">
        <f t="shared" si="69"/>
        <v>89953.460135129601</v>
      </c>
      <c r="AP71" s="211">
        <f t="shared" si="70"/>
        <v>89953.460135129601</v>
      </c>
      <c r="AQ71" s="215">
        <f t="shared" si="49"/>
        <v>72</v>
      </c>
      <c r="AR71" s="211">
        <f t="shared" si="71"/>
        <v>1729.6971558036289</v>
      </c>
      <c r="AS71" s="216">
        <f t="shared" si="72"/>
        <v>91683.157290933232</v>
      </c>
      <c r="AT71" s="429">
        <f t="shared" si="77"/>
        <v>91700</v>
      </c>
      <c r="AU71" s="444" t="s">
        <v>58</v>
      </c>
      <c r="AV71" s="20">
        <f t="shared" si="73"/>
        <v>0</v>
      </c>
    </row>
    <row r="72" spans="1:48" s="7" customFormat="1" ht="33" customHeight="1" x14ac:dyDescent="0.2">
      <c r="A72" s="651"/>
      <c r="B72" s="544">
        <v>68</v>
      </c>
      <c r="C72" s="598"/>
      <c r="D72" s="194" t="s">
        <v>640</v>
      </c>
      <c r="E72" s="195" t="s">
        <v>529</v>
      </c>
      <c r="F72" s="241" t="s">
        <v>665</v>
      </c>
      <c r="G72" s="242"/>
      <c r="H72" s="243">
        <v>47815361</v>
      </c>
      <c r="I72" s="243" t="s">
        <v>641</v>
      </c>
      <c r="J72" s="243" t="s">
        <v>642</v>
      </c>
      <c r="K72" s="243" t="s">
        <v>643</v>
      </c>
      <c r="L72" s="244">
        <v>21000</v>
      </c>
      <c r="M72" s="244">
        <v>38000</v>
      </c>
      <c r="N72" s="561" t="s">
        <v>762</v>
      </c>
      <c r="O72" s="239">
        <f t="shared" si="61"/>
        <v>39</v>
      </c>
      <c r="P72" s="201">
        <f t="shared" si="57"/>
        <v>26</v>
      </c>
      <c r="Q72" s="202">
        <v>0</v>
      </c>
      <c r="R72" s="203">
        <v>8</v>
      </c>
      <c r="S72" s="204">
        <v>18</v>
      </c>
      <c r="T72" s="205">
        <f t="shared" si="58"/>
        <v>13</v>
      </c>
      <c r="U72" s="202">
        <v>0</v>
      </c>
      <c r="V72" s="203">
        <v>0</v>
      </c>
      <c r="W72" s="204">
        <v>13</v>
      </c>
      <c r="X72" s="209">
        <f t="shared" si="59"/>
        <v>3</v>
      </c>
      <c r="Y72" s="203">
        <v>3</v>
      </c>
      <c r="Z72" s="201">
        <v>0</v>
      </c>
      <c r="AA72" s="208">
        <f t="shared" si="75"/>
        <v>38000</v>
      </c>
      <c r="AB72" s="209">
        <f t="shared" si="60"/>
        <v>22800</v>
      </c>
      <c r="AC72" s="203">
        <v>14000</v>
      </c>
      <c r="AD72" s="93">
        <f t="shared" si="62"/>
        <v>17</v>
      </c>
      <c r="AE72" s="210">
        <f t="shared" si="63"/>
        <v>1031.8336233325049</v>
      </c>
      <c r="AF72" s="211">
        <f t="shared" si="64"/>
        <v>17541.171596652584</v>
      </c>
      <c r="AG72" s="245">
        <f t="shared" si="65"/>
        <v>8</v>
      </c>
      <c r="AH72" s="245">
        <f t="shared" si="66"/>
        <v>166.93376068376071</v>
      </c>
      <c r="AI72" s="211">
        <f t="shared" si="67"/>
        <v>1335.4700854700857</v>
      </c>
      <c r="AJ72" s="210">
        <f t="shared" si="68"/>
        <v>3</v>
      </c>
      <c r="AK72" s="191">
        <f t="shared" si="74"/>
        <v>1831.5018315018315</v>
      </c>
      <c r="AL72" s="190">
        <f t="shared" si="76"/>
        <v>5494.5054945054944</v>
      </c>
      <c r="AM72" s="211">
        <v>10000</v>
      </c>
      <c r="AN72" s="203">
        <v>0</v>
      </c>
      <c r="AO72" s="203">
        <f t="shared" si="69"/>
        <v>34371.147176628161</v>
      </c>
      <c r="AP72" s="211">
        <f t="shared" si="70"/>
        <v>22800</v>
      </c>
      <c r="AQ72" s="215">
        <f t="shared" si="49"/>
        <v>0</v>
      </c>
      <c r="AR72" s="211">
        <f t="shared" si="71"/>
        <v>0</v>
      </c>
      <c r="AS72" s="216">
        <f t="shared" si="72"/>
        <v>22800</v>
      </c>
      <c r="AT72" s="429">
        <f t="shared" si="77"/>
        <v>22800</v>
      </c>
      <c r="AU72" s="444" t="s">
        <v>665</v>
      </c>
      <c r="AV72" s="20">
        <f t="shared" si="73"/>
        <v>1</v>
      </c>
    </row>
    <row r="73" spans="1:48" s="7" customFormat="1" ht="45" customHeight="1" x14ac:dyDescent="0.2">
      <c r="A73" s="651"/>
      <c r="B73" s="544">
        <v>69</v>
      </c>
      <c r="C73" s="598"/>
      <c r="D73" s="194" t="s">
        <v>572</v>
      </c>
      <c r="E73" s="195" t="s">
        <v>573</v>
      </c>
      <c r="F73" s="196" t="s">
        <v>56</v>
      </c>
      <c r="G73" s="197" t="s">
        <v>197</v>
      </c>
      <c r="H73" s="198">
        <v>44941846</v>
      </c>
      <c r="I73" s="198" t="s">
        <v>467</v>
      </c>
      <c r="J73" s="198" t="s">
        <v>241</v>
      </c>
      <c r="K73" s="198" t="s">
        <v>242</v>
      </c>
      <c r="L73" s="240">
        <v>82000</v>
      </c>
      <c r="M73" s="199">
        <v>545000</v>
      </c>
      <c r="N73" s="561" t="s">
        <v>763</v>
      </c>
      <c r="O73" s="239">
        <f t="shared" si="61"/>
        <v>211</v>
      </c>
      <c r="P73" s="201">
        <f t="shared" si="57"/>
        <v>35</v>
      </c>
      <c r="Q73" s="202">
        <v>0</v>
      </c>
      <c r="R73" s="203">
        <v>10</v>
      </c>
      <c r="S73" s="204">
        <v>25</v>
      </c>
      <c r="T73" s="205">
        <f t="shared" si="58"/>
        <v>176</v>
      </c>
      <c r="U73" s="202">
        <v>6</v>
      </c>
      <c r="V73" s="203">
        <v>98</v>
      </c>
      <c r="W73" s="204">
        <v>72</v>
      </c>
      <c r="X73" s="209">
        <f t="shared" si="59"/>
        <v>10</v>
      </c>
      <c r="Y73" s="203">
        <v>10</v>
      </c>
      <c r="Z73" s="201">
        <v>0</v>
      </c>
      <c r="AA73" s="208">
        <f t="shared" si="75"/>
        <v>545000</v>
      </c>
      <c r="AB73" s="209">
        <f t="shared" si="60"/>
        <v>327000</v>
      </c>
      <c r="AC73" s="203">
        <v>138000</v>
      </c>
      <c r="AD73" s="93">
        <f t="shared" si="62"/>
        <v>51.9</v>
      </c>
      <c r="AE73" s="210">
        <f t="shared" si="63"/>
        <v>1031.8336233325049</v>
      </c>
      <c r="AF73" s="211">
        <f t="shared" si="64"/>
        <v>53552.165050957003</v>
      </c>
      <c r="AG73" s="212">
        <f t="shared" si="65"/>
        <v>39.4</v>
      </c>
      <c r="AH73" s="212">
        <f t="shared" si="66"/>
        <v>166.93376068376071</v>
      </c>
      <c r="AI73" s="213">
        <f t="shared" si="67"/>
        <v>6577.1901709401718</v>
      </c>
      <c r="AJ73" s="214">
        <f t="shared" si="68"/>
        <v>10</v>
      </c>
      <c r="AK73" s="191">
        <f t="shared" si="74"/>
        <v>1831.5018315018315</v>
      </c>
      <c r="AL73" s="190">
        <f t="shared" si="76"/>
        <v>18315.018315018315</v>
      </c>
      <c r="AM73" s="211">
        <v>10000</v>
      </c>
      <c r="AN73" s="203">
        <v>0</v>
      </c>
      <c r="AO73" s="203">
        <f t="shared" si="69"/>
        <v>88444.373536915489</v>
      </c>
      <c r="AP73" s="211">
        <f t="shared" si="70"/>
        <v>88444.373536915489</v>
      </c>
      <c r="AQ73" s="215">
        <f t="shared" si="49"/>
        <v>51.9</v>
      </c>
      <c r="AR73" s="211">
        <f t="shared" si="71"/>
        <v>1246.8233664751158</v>
      </c>
      <c r="AS73" s="216">
        <f t="shared" si="72"/>
        <v>89691.196903390606</v>
      </c>
      <c r="AT73" s="429">
        <f t="shared" si="77"/>
        <v>89700</v>
      </c>
      <c r="AU73" s="444" t="s">
        <v>56</v>
      </c>
      <c r="AV73" s="20">
        <f t="shared" si="73"/>
        <v>0</v>
      </c>
    </row>
    <row r="74" spans="1:48" s="7" customFormat="1" ht="33" customHeight="1" x14ac:dyDescent="0.2">
      <c r="A74" s="651"/>
      <c r="B74" s="544">
        <v>70</v>
      </c>
      <c r="C74" s="598"/>
      <c r="D74" s="194" t="s">
        <v>574</v>
      </c>
      <c r="E74" s="195" t="s">
        <v>575</v>
      </c>
      <c r="F74" s="196" t="s">
        <v>117</v>
      </c>
      <c r="G74" s="197" t="s">
        <v>197</v>
      </c>
      <c r="H74" s="198">
        <v>68941633</v>
      </c>
      <c r="I74" s="198" t="s">
        <v>211</v>
      </c>
      <c r="J74" s="198" t="s">
        <v>241</v>
      </c>
      <c r="K74" s="198" t="s">
        <v>242</v>
      </c>
      <c r="L74" s="240">
        <v>150000</v>
      </c>
      <c r="M74" s="199">
        <v>720000</v>
      </c>
      <c r="N74" s="561" t="s">
        <v>764</v>
      </c>
      <c r="O74" s="239">
        <f t="shared" si="61"/>
        <v>231</v>
      </c>
      <c r="P74" s="201">
        <f t="shared" si="57"/>
        <v>86</v>
      </c>
      <c r="Q74" s="202">
        <v>0</v>
      </c>
      <c r="R74" s="203">
        <v>74</v>
      </c>
      <c r="S74" s="204">
        <v>12</v>
      </c>
      <c r="T74" s="205">
        <f t="shared" si="58"/>
        <v>145</v>
      </c>
      <c r="U74" s="202">
        <v>4</v>
      </c>
      <c r="V74" s="203">
        <v>113</v>
      </c>
      <c r="W74" s="204">
        <v>28</v>
      </c>
      <c r="X74" s="209">
        <f t="shared" si="59"/>
        <v>10</v>
      </c>
      <c r="Y74" s="203">
        <v>10</v>
      </c>
      <c r="Z74" s="201">
        <v>0</v>
      </c>
      <c r="AA74" s="208">
        <f t="shared" si="75"/>
        <v>720000</v>
      </c>
      <c r="AB74" s="209">
        <f t="shared" si="60"/>
        <v>432000</v>
      </c>
      <c r="AC74" s="203">
        <v>104000</v>
      </c>
      <c r="AD74" s="93">
        <f t="shared" si="62"/>
        <v>113.9</v>
      </c>
      <c r="AE74" s="210">
        <f t="shared" si="63"/>
        <v>1031.8336233325049</v>
      </c>
      <c r="AF74" s="211">
        <f t="shared" si="64"/>
        <v>117525.84969757231</v>
      </c>
      <c r="AG74" s="212">
        <f t="shared" si="65"/>
        <v>107.9</v>
      </c>
      <c r="AH74" s="212">
        <f t="shared" si="66"/>
        <v>166.93376068376071</v>
      </c>
      <c r="AI74" s="213">
        <f t="shared" si="67"/>
        <v>18012.152777777781</v>
      </c>
      <c r="AJ74" s="214">
        <f t="shared" si="68"/>
        <v>10</v>
      </c>
      <c r="AK74" s="191">
        <f t="shared" si="74"/>
        <v>1831.5018315018315</v>
      </c>
      <c r="AL74" s="190">
        <f t="shared" si="76"/>
        <v>18315.018315018315</v>
      </c>
      <c r="AM74" s="211">
        <v>10000</v>
      </c>
      <c r="AN74" s="203">
        <v>0</v>
      </c>
      <c r="AO74" s="203">
        <f t="shared" si="69"/>
        <v>163853.02079036843</v>
      </c>
      <c r="AP74" s="211">
        <f t="shared" si="70"/>
        <v>163853.02079036843</v>
      </c>
      <c r="AQ74" s="215">
        <f t="shared" si="49"/>
        <v>113.9</v>
      </c>
      <c r="AR74" s="211">
        <f t="shared" si="71"/>
        <v>2736.2848061949076</v>
      </c>
      <c r="AS74" s="216">
        <f t="shared" si="72"/>
        <v>166589.30559656335</v>
      </c>
      <c r="AT74" s="429">
        <f t="shared" si="77"/>
        <v>166600</v>
      </c>
      <c r="AU74" s="444" t="s">
        <v>117</v>
      </c>
      <c r="AV74" s="20">
        <f t="shared" si="73"/>
        <v>0</v>
      </c>
    </row>
    <row r="75" spans="1:48" s="7" customFormat="1" ht="33" customHeight="1" x14ac:dyDescent="0.2">
      <c r="A75" s="651"/>
      <c r="B75" s="544">
        <v>71</v>
      </c>
      <c r="C75" s="598"/>
      <c r="D75" s="194" t="s">
        <v>576</v>
      </c>
      <c r="E75" s="195" t="s">
        <v>577</v>
      </c>
      <c r="F75" s="196" t="s">
        <v>578</v>
      </c>
      <c r="G75" s="197" t="s">
        <v>197</v>
      </c>
      <c r="H75" s="198">
        <v>47814721</v>
      </c>
      <c r="I75" s="198" t="s">
        <v>579</v>
      </c>
      <c r="J75" s="198" t="s">
        <v>241</v>
      </c>
      <c r="K75" s="198" t="s">
        <v>242</v>
      </c>
      <c r="L75" s="240">
        <v>75000</v>
      </c>
      <c r="M75" s="199">
        <v>1135000</v>
      </c>
      <c r="N75" s="561" t="s">
        <v>765</v>
      </c>
      <c r="O75" s="239">
        <f t="shared" si="61"/>
        <v>190</v>
      </c>
      <c r="P75" s="201">
        <f t="shared" si="57"/>
        <v>39</v>
      </c>
      <c r="Q75" s="202">
        <v>0</v>
      </c>
      <c r="R75" s="203">
        <v>26</v>
      </c>
      <c r="S75" s="204">
        <v>13</v>
      </c>
      <c r="T75" s="205">
        <f t="shared" si="58"/>
        <v>151</v>
      </c>
      <c r="U75" s="202">
        <v>26</v>
      </c>
      <c r="V75" s="203">
        <v>114</v>
      </c>
      <c r="W75" s="204">
        <v>11</v>
      </c>
      <c r="X75" s="209">
        <f t="shared" si="59"/>
        <v>1</v>
      </c>
      <c r="Y75" s="203">
        <v>1</v>
      </c>
      <c r="Z75" s="201">
        <v>0</v>
      </c>
      <c r="AA75" s="208">
        <f t="shared" si="75"/>
        <v>1135000</v>
      </c>
      <c r="AB75" s="209">
        <f t="shared" si="60"/>
        <v>681000</v>
      </c>
      <c r="AC75" s="203">
        <v>600000</v>
      </c>
      <c r="AD75" s="93">
        <f t="shared" si="62"/>
        <v>66.699999999999989</v>
      </c>
      <c r="AE75" s="210">
        <f t="shared" si="63"/>
        <v>1031.8336233325049</v>
      </c>
      <c r="AF75" s="211">
        <f t="shared" si="64"/>
        <v>68823.302676278065</v>
      </c>
      <c r="AG75" s="212">
        <f t="shared" si="65"/>
        <v>60.199999999999996</v>
      </c>
      <c r="AH75" s="212">
        <f t="shared" si="66"/>
        <v>166.93376068376071</v>
      </c>
      <c r="AI75" s="213">
        <f t="shared" si="67"/>
        <v>10049.412393162394</v>
      </c>
      <c r="AJ75" s="214">
        <f t="shared" si="68"/>
        <v>1</v>
      </c>
      <c r="AK75" s="191">
        <f t="shared" si="74"/>
        <v>1831.5018315018315</v>
      </c>
      <c r="AL75" s="190">
        <f t="shared" si="76"/>
        <v>1831.5018315018315</v>
      </c>
      <c r="AM75" s="211">
        <v>10000</v>
      </c>
      <c r="AN75" s="203">
        <v>0</v>
      </c>
      <c r="AO75" s="203">
        <f t="shared" si="69"/>
        <v>90704.216900942294</v>
      </c>
      <c r="AP75" s="211">
        <f t="shared" si="70"/>
        <v>90704.216900942294</v>
      </c>
      <c r="AQ75" s="215">
        <f t="shared" si="49"/>
        <v>66.699999999999989</v>
      </c>
      <c r="AR75" s="211">
        <f t="shared" si="71"/>
        <v>1602.3722262791948</v>
      </c>
      <c r="AS75" s="216">
        <f t="shared" si="72"/>
        <v>92306.589127221494</v>
      </c>
      <c r="AT75" s="429">
        <f t="shared" si="77"/>
        <v>92300</v>
      </c>
      <c r="AU75" s="444" t="s">
        <v>578</v>
      </c>
      <c r="AV75" s="20">
        <f t="shared" si="73"/>
        <v>0</v>
      </c>
    </row>
    <row r="76" spans="1:48" s="7" customFormat="1" ht="33" customHeight="1" x14ac:dyDescent="0.2">
      <c r="A76" s="651"/>
      <c r="B76" s="544">
        <v>72</v>
      </c>
      <c r="C76" s="598"/>
      <c r="D76" s="194" t="s">
        <v>580</v>
      </c>
      <c r="E76" s="195" t="s">
        <v>581</v>
      </c>
      <c r="F76" s="196" t="s">
        <v>46</v>
      </c>
      <c r="G76" s="197" t="s">
        <v>197</v>
      </c>
      <c r="H76" s="198">
        <v>47814691</v>
      </c>
      <c r="I76" s="198" t="s">
        <v>582</v>
      </c>
      <c r="J76" s="198" t="s">
        <v>241</v>
      </c>
      <c r="K76" s="198" t="s">
        <v>242</v>
      </c>
      <c r="L76" s="240">
        <v>70000</v>
      </c>
      <c r="M76" s="199">
        <v>350000</v>
      </c>
      <c r="N76" s="561" t="s">
        <v>766</v>
      </c>
      <c r="O76" s="239">
        <f t="shared" si="61"/>
        <v>80</v>
      </c>
      <c r="P76" s="201">
        <f t="shared" si="57"/>
        <v>73</v>
      </c>
      <c r="Q76" s="202">
        <v>0</v>
      </c>
      <c r="R76" s="203">
        <v>37</v>
      </c>
      <c r="S76" s="204">
        <v>36</v>
      </c>
      <c r="T76" s="205">
        <f t="shared" si="58"/>
        <v>7</v>
      </c>
      <c r="U76" s="202">
        <v>0</v>
      </c>
      <c r="V76" s="203">
        <v>0</v>
      </c>
      <c r="W76" s="204">
        <v>7</v>
      </c>
      <c r="X76" s="209">
        <f t="shared" si="59"/>
        <v>3</v>
      </c>
      <c r="Y76" s="203">
        <v>3</v>
      </c>
      <c r="Z76" s="201">
        <v>0</v>
      </c>
      <c r="AA76" s="208">
        <f t="shared" si="75"/>
        <v>350000</v>
      </c>
      <c r="AB76" s="209">
        <f t="shared" si="60"/>
        <v>210000</v>
      </c>
      <c r="AC76" s="203">
        <v>32000</v>
      </c>
      <c r="AD76" s="93">
        <f t="shared" si="62"/>
        <v>55</v>
      </c>
      <c r="AE76" s="210">
        <f t="shared" si="63"/>
        <v>1031.8336233325049</v>
      </c>
      <c r="AF76" s="211">
        <f t="shared" si="64"/>
        <v>56750.849283287767</v>
      </c>
      <c r="AG76" s="212">
        <f t="shared" si="65"/>
        <v>37</v>
      </c>
      <c r="AH76" s="212">
        <f t="shared" si="66"/>
        <v>166.93376068376071</v>
      </c>
      <c r="AI76" s="213">
        <f t="shared" si="67"/>
        <v>6176.5491452991464</v>
      </c>
      <c r="AJ76" s="214">
        <f t="shared" si="68"/>
        <v>3</v>
      </c>
      <c r="AK76" s="191">
        <f t="shared" si="74"/>
        <v>1831.5018315018315</v>
      </c>
      <c r="AL76" s="190">
        <f t="shared" si="76"/>
        <v>5494.5054945054944</v>
      </c>
      <c r="AM76" s="211">
        <v>10000</v>
      </c>
      <c r="AN76" s="203">
        <v>0</v>
      </c>
      <c r="AO76" s="203">
        <f t="shared" si="69"/>
        <v>78421.90392309241</v>
      </c>
      <c r="AP76" s="211">
        <f t="shared" si="70"/>
        <v>78421.90392309241</v>
      </c>
      <c r="AQ76" s="215">
        <f t="shared" si="49"/>
        <v>55</v>
      </c>
      <c r="AR76" s="211">
        <f t="shared" si="71"/>
        <v>1321.2964384611053</v>
      </c>
      <c r="AS76" s="216">
        <f t="shared" si="72"/>
        <v>79743.200361553521</v>
      </c>
      <c r="AT76" s="429">
        <f t="shared" si="77"/>
        <v>79700</v>
      </c>
      <c r="AU76" s="444" t="s">
        <v>46</v>
      </c>
      <c r="AV76" s="20">
        <f t="shared" si="73"/>
        <v>0</v>
      </c>
    </row>
    <row r="77" spans="1:48" s="7" customFormat="1" ht="33" customHeight="1" x14ac:dyDescent="0.2">
      <c r="A77" s="651"/>
      <c r="B77" s="544">
        <v>73</v>
      </c>
      <c r="C77" s="598"/>
      <c r="D77" s="194" t="s">
        <v>583</v>
      </c>
      <c r="E77" s="195" t="s">
        <v>584</v>
      </c>
      <c r="F77" s="196" t="s">
        <v>82</v>
      </c>
      <c r="G77" s="197" t="s">
        <v>197</v>
      </c>
      <c r="H77" s="198">
        <v>66144272</v>
      </c>
      <c r="I77" s="198" t="s">
        <v>299</v>
      </c>
      <c r="J77" s="198" t="s">
        <v>241</v>
      </c>
      <c r="K77" s="198" t="s">
        <v>242</v>
      </c>
      <c r="L77" s="240">
        <v>200000</v>
      </c>
      <c r="M77" s="199">
        <v>888000</v>
      </c>
      <c r="N77" s="561" t="s">
        <v>767</v>
      </c>
      <c r="O77" s="239">
        <f t="shared" si="61"/>
        <v>242</v>
      </c>
      <c r="P77" s="201">
        <f t="shared" si="57"/>
        <v>217</v>
      </c>
      <c r="Q77" s="202">
        <v>0</v>
      </c>
      <c r="R77" s="203">
        <v>181</v>
      </c>
      <c r="S77" s="204">
        <v>36</v>
      </c>
      <c r="T77" s="205">
        <f t="shared" si="58"/>
        <v>25</v>
      </c>
      <c r="U77" s="202">
        <v>0</v>
      </c>
      <c r="V77" s="203">
        <v>14</v>
      </c>
      <c r="W77" s="204">
        <v>11</v>
      </c>
      <c r="X77" s="209">
        <f t="shared" si="59"/>
        <v>4</v>
      </c>
      <c r="Y77" s="203">
        <v>4</v>
      </c>
      <c r="Z77" s="201">
        <v>0</v>
      </c>
      <c r="AA77" s="208">
        <f t="shared" si="75"/>
        <v>888000</v>
      </c>
      <c r="AB77" s="209">
        <f t="shared" si="60"/>
        <v>532800</v>
      </c>
      <c r="AC77" s="203">
        <v>75000</v>
      </c>
      <c r="AD77" s="93">
        <f t="shared" si="62"/>
        <v>203.2</v>
      </c>
      <c r="AE77" s="210">
        <f t="shared" si="63"/>
        <v>1031.8336233325049</v>
      </c>
      <c r="AF77" s="211">
        <f t="shared" si="64"/>
        <v>209668.59226116497</v>
      </c>
      <c r="AG77" s="212">
        <f t="shared" si="65"/>
        <v>185.2</v>
      </c>
      <c r="AH77" s="212">
        <f t="shared" si="66"/>
        <v>166.93376068376071</v>
      </c>
      <c r="AI77" s="213">
        <f t="shared" si="67"/>
        <v>30916.13247863248</v>
      </c>
      <c r="AJ77" s="214">
        <f t="shared" si="68"/>
        <v>4</v>
      </c>
      <c r="AK77" s="191">
        <f t="shared" si="74"/>
        <v>1831.5018315018315</v>
      </c>
      <c r="AL77" s="190">
        <f t="shared" si="76"/>
        <v>7326.0073260073259</v>
      </c>
      <c r="AM77" s="211">
        <v>10000</v>
      </c>
      <c r="AN77" s="203">
        <v>0</v>
      </c>
      <c r="AO77" s="203">
        <f t="shared" si="69"/>
        <v>257910.73206580477</v>
      </c>
      <c r="AP77" s="211">
        <f t="shared" si="70"/>
        <v>257910.73206580477</v>
      </c>
      <c r="AQ77" s="215">
        <f t="shared" si="49"/>
        <v>203.2</v>
      </c>
      <c r="AR77" s="211">
        <f t="shared" si="71"/>
        <v>4881.5897508235739</v>
      </c>
      <c r="AS77" s="216">
        <f t="shared" si="72"/>
        <v>262792.32181662833</v>
      </c>
      <c r="AT77" s="429">
        <f t="shared" si="77"/>
        <v>262800</v>
      </c>
      <c r="AU77" s="444" t="s">
        <v>82</v>
      </c>
      <c r="AV77" s="20">
        <f t="shared" si="73"/>
        <v>0</v>
      </c>
    </row>
    <row r="78" spans="1:48" s="7" customFormat="1" ht="33" customHeight="1" x14ac:dyDescent="0.2">
      <c r="A78" s="651"/>
      <c r="B78" s="544">
        <v>74</v>
      </c>
      <c r="C78" s="598"/>
      <c r="D78" s="194" t="s">
        <v>585</v>
      </c>
      <c r="E78" s="195" t="s">
        <v>586</v>
      </c>
      <c r="F78" s="196" t="s">
        <v>45</v>
      </c>
      <c r="G78" s="197" t="s">
        <v>197</v>
      </c>
      <c r="H78" s="198">
        <v>66144337</v>
      </c>
      <c r="I78" s="198" t="s">
        <v>299</v>
      </c>
      <c r="J78" s="198" t="s">
        <v>241</v>
      </c>
      <c r="K78" s="198" t="s">
        <v>242</v>
      </c>
      <c r="L78" s="240">
        <v>130000</v>
      </c>
      <c r="M78" s="199">
        <v>780000</v>
      </c>
      <c r="N78" s="561" t="s">
        <v>768</v>
      </c>
      <c r="O78" s="239">
        <f t="shared" si="61"/>
        <v>167</v>
      </c>
      <c r="P78" s="201">
        <f t="shared" si="57"/>
        <v>113</v>
      </c>
      <c r="Q78" s="202">
        <v>0</v>
      </c>
      <c r="R78" s="203">
        <v>87</v>
      </c>
      <c r="S78" s="204">
        <v>26</v>
      </c>
      <c r="T78" s="205">
        <f t="shared" si="58"/>
        <v>54</v>
      </c>
      <c r="U78" s="202">
        <v>0</v>
      </c>
      <c r="V78" s="203">
        <v>5</v>
      </c>
      <c r="W78" s="204">
        <v>49</v>
      </c>
      <c r="X78" s="209">
        <f t="shared" si="59"/>
        <v>0</v>
      </c>
      <c r="Y78" s="203"/>
      <c r="Z78" s="201"/>
      <c r="AA78" s="208">
        <f t="shared" si="75"/>
        <v>780000</v>
      </c>
      <c r="AB78" s="209">
        <f t="shared" si="60"/>
        <v>468000</v>
      </c>
      <c r="AC78" s="203"/>
      <c r="AD78" s="93">
        <f t="shared" si="62"/>
        <v>101.5</v>
      </c>
      <c r="AE78" s="210">
        <f t="shared" si="63"/>
        <v>1031.8336233325049</v>
      </c>
      <c r="AF78" s="211">
        <f t="shared" si="64"/>
        <v>104731.11276824925</v>
      </c>
      <c r="AG78" s="212">
        <f t="shared" si="65"/>
        <v>88.5</v>
      </c>
      <c r="AH78" s="212">
        <f t="shared" si="66"/>
        <v>166.93376068376071</v>
      </c>
      <c r="AI78" s="213">
        <f t="shared" si="67"/>
        <v>14773.637820512822</v>
      </c>
      <c r="AJ78" s="214">
        <f t="shared" si="68"/>
        <v>0</v>
      </c>
      <c r="AK78" s="191">
        <f t="shared" si="74"/>
        <v>1831.5018315018315</v>
      </c>
      <c r="AL78" s="190">
        <f t="shared" si="76"/>
        <v>0</v>
      </c>
      <c r="AM78" s="211">
        <v>10000</v>
      </c>
      <c r="AN78" s="203">
        <v>0</v>
      </c>
      <c r="AO78" s="203">
        <f t="shared" si="69"/>
        <v>129504.75058876208</v>
      </c>
      <c r="AP78" s="211">
        <f t="shared" si="70"/>
        <v>129504.75058876208</v>
      </c>
      <c r="AQ78" s="215">
        <f t="shared" si="49"/>
        <v>101.5</v>
      </c>
      <c r="AR78" s="211">
        <f t="shared" si="71"/>
        <v>2438.3925182509488</v>
      </c>
      <c r="AS78" s="216">
        <f t="shared" si="72"/>
        <v>131943.14310701302</v>
      </c>
      <c r="AT78" s="429">
        <f t="shared" si="77"/>
        <v>131900</v>
      </c>
      <c r="AU78" s="444" t="s">
        <v>45</v>
      </c>
      <c r="AV78" s="20">
        <f t="shared" si="73"/>
        <v>0</v>
      </c>
    </row>
    <row r="79" spans="1:48" s="7" customFormat="1" ht="38.25" customHeight="1" thickBot="1" x14ac:dyDescent="0.25">
      <c r="A79" s="651"/>
      <c r="B79" s="544">
        <v>75</v>
      </c>
      <c r="C79" s="598"/>
      <c r="D79" s="246" t="s">
        <v>587</v>
      </c>
      <c r="E79" s="247" t="s">
        <v>588</v>
      </c>
      <c r="F79" s="248" t="s">
        <v>589</v>
      </c>
      <c r="G79" s="197" t="s">
        <v>197</v>
      </c>
      <c r="H79" s="198">
        <v>22831843</v>
      </c>
      <c r="I79" s="198" t="s">
        <v>590</v>
      </c>
      <c r="J79" s="198" t="s">
        <v>241</v>
      </c>
      <c r="K79" s="198" t="s">
        <v>242</v>
      </c>
      <c r="L79" s="240">
        <v>20000</v>
      </c>
      <c r="M79" s="199">
        <v>84000</v>
      </c>
      <c r="N79" s="561" t="s">
        <v>769</v>
      </c>
      <c r="O79" s="239">
        <f t="shared" si="61"/>
        <v>8</v>
      </c>
      <c r="P79" s="201">
        <f t="shared" si="57"/>
        <v>8</v>
      </c>
      <c r="Q79" s="202">
        <v>0</v>
      </c>
      <c r="R79" s="203">
        <v>0</v>
      </c>
      <c r="S79" s="204">
        <v>8</v>
      </c>
      <c r="T79" s="205">
        <f t="shared" si="58"/>
        <v>0</v>
      </c>
      <c r="U79" s="202">
        <v>0</v>
      </c>
      <c r="V79" s="203">
        <v>0</v>
      </c>
      <c r="W79" s="204">
        <v>0</v>
      </c>
      <c r="X79" s="209">
        <v>0</v>
      </c>
      <c r="Y79" s="203">
        <v>0</v>
      </c>
      <c r="Z79" s="201">
        <v>5</v>
      </c>
      <c r="AA79" s="208">
        <f t="shared" si="75"/>
        <v>84000</v>
      </c>
      <c r="AB79" s="209">
        <f t="shared" si="60"/>
        <v>50400</v>
      </c>
      <c r="AC79" s="203">
        <v>2000</v>
      </c>
      <c r="AD79" s="93">
        <f t="shared" si="62"/>
        <v>4</v>
      </c>
      <c r="AE79" s="210">
        <f t="shared" si="63"/>
        <v>1031.8336233325049</v>
      </c>
      <c r="AF79" s="211">
        <f t="shared" si="64"/>
        <v>4127.3344933300195</v>
      </c>
      <c r="AG79" s="212">
        <f t="shared" si="65"/>
        <v>0</v>
      </c>
      <c r="AH79" s="212">
        <f t="shared" si="66"/>
        <v>166.93376068376071</v>
      </c>
      <c r="AI79" s="213">
        <f t="shared" si="67"/>
        <v>0</v>
      </c>
      <c r="AJ79" s="214">
        <f t="shared" si="68"/>
        <v>0</v>
      </c>
      <c r="AK79" s="191">
        <f t="shared" si="74"/>
        <v>1831.5018315018315</v>
      </c>
      <c r="AL79" s="190">
        <f t="shared" si="76"/>
        <v>0</v>
      </c>
      <c r="AM79" s="211">
        <v>10000</v>
      </c>
      <c r="AN79" s="203">
        <v>0</v>
      </c>
      <c r="AO79" s="203">
        <f t="shared" si="69"/>
        <v>14127.33449333002</v>
      </c>
      <c r="AP79" s="211">
        <f t="shared" si="70"/>
        <v>14127.33449333002</v>
      </c>
      <c r="AQ79" s="215">
        <f t="shared" si="49"/>
        <v>4</v>
      </c>
      <c r="AR79" s="211">
        <f t="shared" si="71"/>
        <v>96.094286433534933</v>
      </c>
      <c r="AS79" s="216">
        <f t="shared" si="72"/>
        <v>14223.428779763555</v>
      </c>
      <c r="AT79" s="429">
        <f t="shared" si="77"/>
        <v>14200</v>
      </c>
      <c r="AU79" s="444" t="s">
        <v>589</v>
      </c>
      <c r="AV79" s="20">
        <f t="shared" si="73"/>
        <v>0</v>
      </c>
    </row>
    <row r="80" spans="1:48" ht="46.9" customHeight="1" x14ac:dyDescent="0.2">
      <c r="A80" s="651"/>
      <c r="B80" s="544">
        <v>76</v>
      </c>
      <c r="C80" s="599" t="s">
        <v>6</v>
      </c>
      <c r="D80" s="249" t="s">
        <v>302</v>
      </c>
      <c r="E80" s="250" t="s">
        <v>303</v>
      </c>
      <c r="F80" s="251" t="s">
        <v>37</v>
      </c>
      <c r="G80" s="197" t="s">
        <v>189</v>
      </c>
      <c r="H80" s="198">
        <v>47810971</v>
      </c>
      <c r="I80" s="198" t="s">
        <v>190</v>
      </c>
      <c r="J80" s="198" t="s">
        <v>191</v>
      </c>
      <c r="K80" s="198" t="s">
        <v>192</v>
      </c>
      <c r="L80" s="240">
        <v>130000</v>
      </c>
      <c r="M80" s="199">
        <v>594500</v>
      </c>
      <c r="N80" s="561" t="s">
        <v>770</v>
      </c>
      <c r="O80" s="239">
        <f t="shared" si="61"/>
        <v>37</v>
      </c>
      <c r="P80" s="201">
        <f t="shared" si="57"/>
        <v>15</v>
      </c>
      <c r="Q80" s="202">
        <v>0</v>
      </c>
      <c r="R80" s="203">
        <v>14</v>
      </c>
      <c r="S80" s="204">
        <v>1</v>
      </c>
      <c r="T80" s="205">
        <f t="shared" si="58"/>
        <v>22</v>
      </c>
      <c r="U80" s="202">
        <v>0</v>
      </c>
      <c r="V80" s="203">
        <v>14</v>
      </c>
      <c r="W80" s="204">
        <v>8</v>
      </c>
      <c r="X80" s="209">
        <f t="shared" si="59"/>
        <v>5</v>
      </c>
      <c r="Y80" s="203">
        <v>5</v>
      </c>
      <c r="Z80" s="201">
        <v>0</v>
      </c>
      <c r="AA80" s="208">
        <f t="shared" si="75"/>
        <v>594500</v>
      </c>
      <c r="AB80" s="209">
        <f t="shared" si="60"/>
        <v>356700</v>
      </c>
      <c r="AC80" s="203">
        <v>23500</v>
      </c>
      <c r="AD80" s="93">
        <f t="shared" si="62"/>
        <v>18.7</v>
      </c>
      <c r="AE80" s="210">
        <f t="shared" si="63"/>
        <v>1031.8336233325049</v>
      </c>
      <c r="AF80" s="211">
        <f t="shared" si="64"/>
        <v>19295.288756317841</v>
      </c>
      <c r="AG80" s="212">
        <f t="shared" si="65"/>
        <v>18.2</v>
      </c>
      <c r="AH80" s="212">
        <f t="shared" si="66"/>
        <v>166.93376068376071</v>
      </c>
      <c r="AI80" s="213">
        <f t="shared" si="67"/>
        <v>3038.1944444444448</v>
      </c>
      <c r="AJ80" s="214">
        <f t="shared" si="68"/>
        <v>5</v>
      </c>
      <c r="AK80" s="191">
        <f t="shared" si="74"/>
        <v>1831.5018315018315</v>
      </c>
      <c r="AL80" s="190">
        <f t="shared" si="76"/>
        <v>9157.5091575091574</v>
      </c>
      <c r="AM80" s="211">
        <v>10000</v>
      </c>
      <c r="AN80" s="203">
        <v>0</v>
      </c>
      <c r="AO80" s="203">
        <f t="shared" si="69"/>
        <v>41490.99235827144</v>
      </c>
      <c r="AP80" s="211">
        <f t="shared" si="70"/>
        <v>41490.99235827144</v>
      </c>
      <c r="AQ80" s="215">
        <f t="shared" si="49"/>
        <v>18.7</v>
      </c>
      <c r="AR80" s="211">
        <f t="shared" si="71"/>
        <v>449.2407890767758</v>
      </c>
      <c r="AS80" s="216">
        <f t="shared" si="72"/>
        <v>41940.233147348219</v>
      </c>
      <c r="AT80" s="429">
        <f t="shared" si="77"/>
        <v>41900</v>
      </c>
      <c r="AU80" s="438" t="s">
        <v>37</v>
      </c>
      <c r="AV80" s="20">
        <f t="shared" si="73"/>
        <v>0</v>
      </c>
    </row>
    <row r="81" spans="1:48" s="6" customFormat="1" ht="42" customHeight="1" x14ac:dyDescent="0.2">
      <c r="A81" s="651"/>
      <c r="B81" s="544">
        <v>77</v>
      </c>
      <c r="C81" s="600"/>
      <c r="D81" s="253" t="s">
        <v>304</v>
      </c>
      <c r="E81" s="254" t="s">
        <v>305</v>
      </c>
      <c r="F81" s="255" t="s">
        <v>650</v>
      </c>
      <c r="G81" s="197" t="s">
        <v>189</v>
      </c>
      <c r="H81" s="198">
        <v>47813253</v>
      </c>
      <c r="I81" s="198" t="s">
        <v>306</v>
      </c>
      <c r="J81" s="198" t="s">
        <v>307</v>
      </c>
      <c r="K81" s="198" t="s">
        <v>308</v>
      </c>
      <c r="L81" s="240">
        <v>27200</v>
      </c>
      <c r="M81" s="199">
        <v>92000</v>
      </c>
      <c r="N81" s="561" t="s">
        <v>771</v>
      </c>
      <c r="O81" s="239">
        <f t="shared" si="61"/>
        <v>20</v>
      </c>
      <c r="P81" s="201">
        <f t="shared" ref="P81:P83" si="78">+Q81+R81+S81</f>
        <v>20</v>
      </c>
      <c r="Q81" s="202">
        <v>0</v>
      </c>
      <c r="R81" s="203">
        <v>8</v>
      </c>
      <c r="S81" s="204">
        <v>12</v>
      </c>
      <c r="T81" s="205">
        <f t="shared" ref="T81" si="79">+U81+V81+W81</f>
        <v>0</v>
      </c>
      <c r="U81" s="202">
        <v>0</v>
      </c>
      <c r="V81" s="203">
        <v>0</v>
      </c>
      <c r="W81" s="204">
        <v>0</v>
      </c>
      <c r="X81" s="209">
        <f t="shared" ref="X81" si="80">+Y81+Z81</f>
        <v>6</v>
      </c>
      <c r="Y81" s="203">
        <v>5</v>
      </c>
      <c r="Z81" s="201">
        <v>1</v>
      </c>
      <c r="AA81" s="208">
        <f t="shared" si="75"/>
        <v>92000</v>
      </c>
      <c r="AB81" s="209">
        <f t="shared" ref="AB81" si="81">AA81*koef</f>
        <v>55200</v>
      </c>
      <c r="AC81" s="203">
        <v>27000</v>
      </c>
      <c r="AD81" s="93">
        <f t="shared" si="62"/>
        <v>14</v>
      </c>
      <c r="AE81" s="210">
        <f t="shared" si="63"/>
        <v>1031.8336233325049</v>
      </c>
      <c r="AF81" s="211">
        <f t="shared" si="64"/>
        <v>14445.670726655069</v>
      </c>
      <c r="AG81" s="212">
        <f t="shared" si="65"/>
        <v>8</v>
      </c>
      <c r="AH81" s="212">
        <f t="shared" si="66"/>
        <v>166.93376068376071</v>
      </c>
      <c r="AI81" s="213">
        <f t="shared" si="67"/>
        <v>1335.4700854700857</v>
      </c>
      <c r="AJ81" s="214">
        <f t="shared" si="68"/>
        <v>5</v>
      </c>
      <c r="AK81" s="191">
        <f t="shared" si="74"/>
        <v>1831.5018315018315</v>
      </c>
      <c r="AL81" s="190">
        <f t="shared" si="76"/>
        <v>9157.5091575091574</v>
      </c>
      <c r="AM81" s="211">
        <v>10000</v>
      </c>
      <c r="AN81" s="203">
        <v>0</v>
      </c>
      <c r="AO81" s="203">
        <f t="shared" si="69"/>
        <v>34938.649969634309</v>
      </c>
      <c r="AP81" s="211">
        <f t="shared" si="70"/>
        <v>34938.649969634309</v>
      </c>
      <c r="AQ81" s="215">
        <f t="shared" si="49"/>
        <v>14</v>
      </c>
      <c r="AR81" s="211">
        <f t="shared" si="71"/>
        <v>336.33000251737224</v>
      </c>
      <c r="AS81" s="216">
        <f t="shared" si="72"/>
        <v>35274.979972151683</v>
      </c>
      <c r="AT81" s="429">
        <f t="shared" si="77"/>
        <v>35300</v>
      </c>
      <c r="AU81" s="438" t="s">
        <v>650</v>
      </c>
      <c r="AV81" s="20">
        <f t="shared" si="73"/>
        <v>0</v>
      </c>
    </row>
    <row r="82" spans="1:48" s="6" customFormat="1" ht="42" customHeight="1" x14ac:dyDescent="0.2">
      <c r="A82" s="651"/>
      <c r="B82" s="544">
        <v>78</v>
      </c>
      <c r="C82" s="600"/>
      <c r="D82" s="253" t="s">
        <v>311</v>
      </c>
      <c r="E82" s="254" t="s">
        <v>312</v>
      </c>
      <c r="F82" s="255" t="s">
        <v>204</v>
      </c>
      <c r="G82" s="197" t="s">
        <v>197</v>
      </c>
      <c r="H82" s="198" t="s">
        <v>38</v>
      </c>
      <c r="I82" s="198" t="s">
        <v>205</v>
      </c>
      <c r="J82" s="198" t="s">
        <v>206</v>
      </c>
      <c r="K82" s="198" t="s">
        <v>207</v>
      </c>
      <c r="L82" s="240">
        <v>100000</v>
      </c>
      <c r="M82" s="199">
        <v>410000</v>
      </c>
      <c r="N82" s="561" t="s">
        <v>772</v>
      </c>
      <c r="O82" s="239">
        <f t="shared" si="61"/>
        <v>79</v>
      </c>
      <c r="P82" s="201">
        <f t="shared" si="78"/>
        <v>79</v>
      </c>
      <c r="Q82" s="202">
        <v>19</v>
      </c>
      <c r="R82" s="203">
        <v>58</v>
      </c>
      <c r="S82" s="204">
        <v>2</v>
      </c>
      <c r="T82" s="205">
        <f t="shared" ref="T82:T85" si="82">+U82+V82+W82</f>
        <v>0</v>
      </c>
      <c r="U82" s="202">
        <v>0</v>
      </c>
      <c r="V82" s="203">
        <v>0</v>
      </c>
      <c r="W82" s="204">
        <v>0</v>
      </c>
      <c r="X82" s="209">
        <f t="shared" ref="X82:X85" si="83">+Y82+Z82</f>
        <v>5</v>
      </c>
      <c r="Y82" s="203">
        <v>3</v>
      </c>
      <c r="Z82" s="201">
        <v>2</v>
      </c>
      <c r="AA82" s="208">
        <f t="shared" si="75"/>
        <v>410000</v>
      </c>
      <c r="AB82" s="209">
        <f t="shared" ref="AB82:AB85" si="84">AA82*koef</f>
        <v>246000</v>
      </c>
      <c r="AC82" s="203">
        <v>266000</v>
      </c>
      <c r="AD82" s="93">
        <f t="shared" si="62"/>
        <v>59</v>
      </c>
      <c r="AE82" s="210">
        <f t="shared" si="63"/>
        <v>1031.8336233325049</v>
      </c>
      <c r="AF82" s="211">
        <f t="shared" si="64"/>
        <v>60878.183776617785</v>
      </c>
      <c r="AG82" s="212">
        <f t="shared" si="65"/>
        <v>58</v>
      </c>
      <c r="AH82" s="212">
        <f t="shared" si="66"/>
        <v>166.93376068376071</v>
      </c>
      <c r="AI82" s="213">
        <f t="shared" si="67"/>
        <v>9682.158119658121</v>
      </c>
      <c r="AJ82" s="214">
        <f t="shared" si="68"/>
        <v>3</v>
      </c>
      <c r="AK82" s="191">
        <f t="shared" si="74"/>
        <v>1831.5018315018315</v>
      </c>
      <c r="AL82" s="190">
        <f t="shared" si="76"/>
        <v>5494.5054945054944</v>
      </c>
      <c r="AM82" s="211">
        <v>10000</v>
      </c>
      <c r="AN82" s="203">
        <v>0</v>
      </c>
      <c r="AO82" s="203">
        <f t="shared" si="69"/>
        <v>86054.84739078139</v>
      </c>
      <c r="AP82" s="211">
        <f t="shared" si="70"/>
        <v>86054.84739078139</v>
      </c>
      <c r="AQ82" s="215">
        <f t="shared" si="49"/>
        <v>59</v>
      </c>
      <c r="AR82" s="211">
        <f t="shared" si="71"/>
        <v>1417.3907248946402</v>
      </c>
      <c r="AS82" s="216">
        <f t="shared" si="72"/>
        <v>87472.238115676024</v>
      </c>
      <c r="AT82" s="429">
        <f t="shared" si="77"/>
        <v>87500</v>
      </c>
      <c r="AU82" s="438" t="s">
        <v>204</v>
      </c>
      <c r="AV82" s="20">
        <f t="shared" si="73"/>
        <v>0</v>
      </c>
    </row>
    <row r="83" spans="1:48" s="6" customFormat="1" ht="57" customHeight="1" x14ac:dyDescent="0.2">
      <c r="A83" s="651"/>
      <c r="B83" s="544">
        <v>79</v>
      </c>
      <c r="C83" s="600"/>
      <c r="D83" s="253" t="s">
        <v>406</v>
      </c>
      <c r="E83" s="254" t="s">
        <v>407</v>
      </c>
      <c r="F83" s="255" t="s">
        <v>408</v>
      </c>
      <c r="G83" s="197" t="s">
        <v>189</v>
      </c>
      <c r="H83" s="198" t="s">
        <v>409</v>
      </c>
      <c r="I83" s="198" t="s">
        <v>410</v>
      </c>
      <c r="J83" s="198" t="s">
        <v>411</v>
      </c>
      <c r="K83" s="198" t="s">
        <v>412</v>
      </c>
      <c r="L83" s="240">
        <v>40000</v>
      </c>
      <c r="M83" s="199">
        <v>78000</v>
      </c>
      <c r="N83" s="561" t="s">
        <v>773</v>
      </c>
      <c r="O83" s="239">
        <f t="shared" si="61"/>
        <v>39</v>
      </c>
      <c r="P83" s="201">
        <f t="shared" si="78"/>
        <v>26</v>
      </c>
      <c r="Q83" s="202">
        <v>0</v>
      </c>
      <c r="R83" s="203">
        <v>9</v>
      </c>
      <c r="S83" s="204">
        <v>17</v>
      </c>
      <c r="T83" s="205">
        <f t="shared" si="82"/>
        <v>13</v>
      </c>
      <c r="U83" s="202">
        <v>0</v>
      </c>
      <c r="V83" s="203">
        <v>0</v>
      </c>
      <c r="W83" s="204">
        <v>13</v>
      </c>
      <c r="X83" s="209">
        <f t="shared" si="83"/>
        <v>3</v>
      </c>
      <c r="Y83" s="203">
        <v>3</v>
      </c>
      <c r="Z83" s="201">
        <v>0</v>
      </c>
      <c r="AA83" s="208">
        <f t="shared" si="75"/>
        <v>78000</v>
      </c>
      <c r="AB83" s="209">
        <f t="shared" si="84"/>
        <v>46800</v>
      </c>
      <c r="AC83" s="203">
        <v>8100</v>
      </c>
      <c r="AD83" s="93">
        <f t="shared" si="62"/>
        <v>17.5</v>
      </c>
      <c r="AE83" s="210">
        <f t="shared" si="63"/>
        <v>1031.8336233325049</v>
      </c>
      <c r="AF83" s="211">
        <f t="shared" si="64"/>
        <v>18057.088408318836</v>
      </c>
      <c r="AG83" s="212">
        <f t="shared" si="65"/>
        <v>9</v>
      </c>
      <c r="AH83" s="212">
        <f t="shared" si="66"/>
        <v>166.93376068376071</v>
      </c>
      <c r="AI83" s="213">
        <f t="shared" si="67"/>
        <v>1502.4038461538464</v>
      </c>
      <c r="AJ83" s="214">
        <f t="shared" si="68"/>
        <v>3</v>
      </c>
      <c r="AK83" s="191">
        <f t="shared" si="74"/>
        <v>1831.5018315018315</v>
      </c>
      <c r="AL83" s="190">
        <f t="shared" si="76"/>
        <v>5494.5054945054944</v>
      </c>
      <c r="AM83" s="211">
        <v>10000</v>
      </c>
      <c r="AN83" s="203">
        <v>0</v>
      </c>
      <c r="AO83" s="203">
        <f t="shared" si="69"/>
        <v>35053.997748978174</v>
      </c>
      <c r="AP83" s="211">
        <f t="shared" si="70"/>
        <v>35053.997748978174</v>
      </c>
      <c r="AQ83" s="215">
        <f t="shared" si="49"/>
        <v>17.5</v>
      </c>
      <c r="AR83" s="211">
        <f t="shared" si="71"/>
        <v>420.41250314671532</v>
      </c>
      <c r="AS83" s="216">
        <f t="shared" si="72"/>
        <v>35474.410252124886</v>
      </c>
      <c r="AT83" s="429">
        <f t="shared" si="77"/>
        <v>35500</v>
      </c>
      <c r="AU83" s="438" t="s">
        <v>408</v>
      </c>
      <c r="AV83" s="20">
        <f t="shared" si="73"/>
        <v>0</v>
      </c>
    </row>
    <row r="84" spans="1:48" s="6" customFormat="1" ht="33" customHeight="1" x14ac:dyDescent="0.2">
      <c r="A84" s="651"/>
      <c r="B84" s="544">
        <v>81</v>
      </c>
      <c r="C84" s="600"/>
      <c r="D84" s="253" t="s">
        <v>539</v>
      </c>
      <c r="E84" s="254" t="s">
        <v>540</v>
      </c>
      <c r="F84" s="255" t="s">
        <v>541</v>
      </c>
      <c r="G84" s="197" t="s">
        <v>189</v>
      </c>
      <c r="H84" s="198">
        <v>66144159</v>
      </c>
      <c r="I84" s="198" t="s">
        <v>542</v>
      </c>
      <c r="J84" s="198" t="s">
        <v>543</v>
      </c>
      <c r="K84" s="198" t="s">
        <v>544</v>
      </c>
      <c r="L84" s="240">
        <v>50000</v>
      </c>
      <c r="M84" s="199">
        <v>87900</v>
      </c>
      <c r="N84" s="561" t="s">
        <v>774</v>
      </c>
      <c r="O84" s="239">
        <f t="shared" si="61"/>
        <v>24</v>
      </c>
      <c r="P84" s="201">
        <f t="shared" ref="P84:P85" si="85">+Q84+R84+S84</f>
        <v>0</v>
      </c>
      <c r="Q84" s="202">
        <v>0</v>
      </c>
      <c r="R84" s="203">
        <v>0</v>
      </c>
      <c r="S84" s="204">
        <v>0</v>
      </c>
      <c r="T84" s="205">
        <f t="shared" si="82"/>
        <v>24</v>
      </c>
      <c r="U84" s="202">
        <v>0</v>
      </c>
      <c r="V84" s="203">
        <v>10</v>
      </c>
      <c r="W84" s="204">
        <v>14</v>
      </c>
      <c r="X84" s="209">
        <f t="shared" si="83"/>
        <v>2</v>
      </c>
      <c r="Y84" s="203">
        <v>2</v>
      </c>
      <c r="Z84" s="201">
        <v>0</v>
      </c>
      <c r="AA84" s="208">
        <f t="shared" si="75"/>
        <v>87900</v>
      </c>
      <c r="AB84" s="209">
        <f t="shared" si="84"/>
        <v>52740</v>
      </c>
      <c r="AC84" s="203">
        <v>5200</v>
      </c>
      <c r="AD84" s="93">
        <f t="shared" si="62"/>
        <v>3</v>
      </c>
      <c r="AE84" s="210">
        <f t="shared" si="63"/>
        <v>1031.8336233325049</v>
      </c>
      <c r="AF84" s="211">
        <f t="shared" si="64"/>
        <v>3095.5008699975147</v>
      </c>
      <c r="AG84" s="212">
        <f t="shared" si="65"/>
        <v>3</v>
      </c>
      <c r="AH84" s="212">
        <f t="shared" si="66"/>
        <v>166.93376068376071</v>
      </c>
      <c r="AI84" s="213">
        <f t="shared" si="67"/>
        <v>500.8012820512821</v>
      </c>
      <c r="AJ84" s="214">
        <f t="shared" ref="AJ84:AJ85" si="86">Y84</f>
        <v>2</v>
      </c>
      <c r="AK84" s="191">
        <f t="shared" si="74"/>
        <v>1831.5018315018315</v>
      </c>
      <c r="AL84" s="190">
        <f t="shared" si="76"/>
        <v>3663.003663003663</v>
      </c>
      <c r="AM84" s="211">
        <v>10000</v>
      </c>
      <c r="AN84" s="203">
        <v>0</v>
      </c>
      <c r="AO84" s="203">
        <f t="shared" si="69"/>
        <v>17259.305815052459</v>
      </c>
      <c r="AP84" s="211">
        <f t="shared" si="70"/>
        <v>17259.305815052459</v>
      </c>
      <c r="AQ84" s="215">
        <f t="shared" si="49"/>
        <v>3</v>
      </c>
      <c r="AR84" s="211">
        <f t="shared" si="71"/>
        <v>72.0707148251512</v>
      </c>
      <c r="AS84" s="216">
        <f t="shared" si="72"/>
        <v>17331.376529877609</v>
      </c>
      <c r="AT84" s="429">
        <f t="shared" si="77"/>
        <v>17300</v>
      </c>
      <c r="AU84" s="438" t="s">
        <v>541</v>
      </c>
      <c r="AV84" s="20">
        <f t="shared" si="73"/>
        <v>0</v>
      </c>
    </row>
    <row r="85" spans="1:48" s="6" customFormat="1" ht="33" customHeight="1" thickBot="1" x14ac:dyDescent="0.25">
      <c r="A85" s="651"/>
      <c r="B85" s="544">
        <v>82</v>
      </c>
      <c r="C85" s="600"/>
      <c r="D85" s="259" t="s">
        <v>530</v>
      </c>
      <c r="E85" s="260" t="s">
        <v>531</v>
      </c>
      <c r="F85" s="261" t="s">
        <v>532</v>
      </c>
      <c r="G85" s="197" t="s">
        <v>197</v>
      </c>
      <c r="H85" s="198" t="s">
        <v>130</v>
      </c>
      <c r="I85" s="198" t="s">
        <v>533</v>
      </c>
      <c r="J85" s="198" t="s">
        <v>534</v>
      </c>
      <c r="K85" s="198" t="s">
        <v>535</v>
      </c>
      <c r="L85" s="240">
        <v>117292</v>
      </c>
      <c r="M85" s="199">
        <v>924792</v>
      </c>
      <c r="N85" s="561" t="s">
        <v>775</v>
      </c>
      <c r="O85" s="239">
        <v>0</v>
      </c>
      <c r="P85" s="201">
        <f t="shared" si="85"/>
        <v>25</v>
      </c>
      <c r="Q85" s="202">
        <v>0</v>
      </c>
      <c r="R85" s="203">
        <v>21</v>
      </c>
      <c r="S85" s="204">
        <v>4</v>
      </c>
      <c r="T85" s="205">
        <f t="shared" si="82"/>
        <v>215</v>
      </c>
      <c r="U85" s="202">
        <v>23</v>
      </c>
      <c r="V85" s="203">
        <v>191</v>
      </c>
      <c r="W85" s="204">
        <v>1</v>
      </c>
      <c r="X85" s="209">
        <f t="shared" si="83"/>
        <v>3</v>
      </c>
      <c r="Y85" s="203">
        <v>1</v>
      </c>
      <c r="Z85" s="201">
        <v>2</v>
      </c>
      <c r="AA85" s="208">
        <f t="shared" si="75"/>
        <v>924792</v>
      </c>
      <c r="AB85" s="209">
        <f t="shared" si="84"/>
        <v>554875.19999999995</v>
      </c>
      <c r="AC85" s="203">
        <v>669000</v>
      </c>
      <c r="AD85" s="93">
        <f t="shared" si="62"/>
        <v>80.3</v>
      </c>
      <c r="AE85" s="210">
        <f t="shared" si="63"/>
        <v>1031.8336233325049</v>
      </c>
      <c r="AF85" s="211">
        <f t="shared" si="64"/>
        <v>82856.239953600132</v>
      </c>
      <c r="AG85" s="212">
        <f t="shared" si="65"/>
        <v>78.3</v>
      </c>
      <c r="AH85" s="212">
        <f t="shared" si="66"/>
        <v>166.93376068376071</v>
      </c>
      <c r="AI85" s="213">
        <f t="shared" si="67"/>
        <v>13070.913461538463</v>
      </c>
      <c r="AJ85" s="214">
        <f t="shared" si="86"/>
        <v>1</v>
      </c>
      <c r="AK85" s="191">
        <f t="shared" si="74"/>
        <v>1831.5018315018315</v>
      </c>
      <c r="AL85" s="190">
        <f t="shared" si="76"/>
        <v>1831.5018315018315</v>
      </c>
      <c r="AM85" s="211">
        <v>10000</v>
      </c>
      <c r="AN85" s="203">
        <v>0</v>
      </c>
      <c r="AO85" s="203">
        <f t="shared" si="69"/>
        <v>107758.65524664044</v>
      </c>
      <c r="AP85" s="211">
        <f t="shared" si="70"/>
        <v>107758.65524664044</v>
      </c>
      <c r="AQ85" s="215">
        <f t="shared" si="49"/>
        <v>80.3</v>
      </c>
      <c r="AR85" s="211">
        <f t="shared" si="71"/>
        <v>1929.0928001532136</v>
      </c>
      <c r="AS85" s="216">
        <f t="shared" si="72"/>
        <v>109687.74804679365</v>
      </c>
      <c r="AT85" s="429">
        <f t="shared" si="77"/>
        <v>109700</v>
      </c>
      <c r="AU85" s="438" t="s">
        <v>532</v>
      </c>
      <c r="AV85" s="20">
        <f t="shared" si="73"/>
        <v>0</v>
      </c>
    </row>
    <row r="86" spans="1:48" s="2" customFormat="1" ht="54.6" customHeight="1" x14ac:dyDescent="0.2">
      <c r="A86" s="651"/>
      <c r="B86" s="544">
        <v>83</v>
      </c>
      <c r="C86" s="595" t="s">
        <v>31</v>
      </c>
      <c r="D86" s="262" t="s">
        <v>460</v>
      </c>
      <c r="E86" s="263" t="s">
        <v>461</v>
      </c>
      <c r="F86" s="264" t="s">
        <v>126</v>
      </c>
      <c r="G86" s="197" t="s">
        <v>189</v>
      </c>
      <c r="H86" s="198">
        <v>66739021</v>
      </c>
      <c r="I86" s="198" t="s">
        <v>462</v>
      </c>
      <c r="J86" s="198" t="s">
        <v>463</v>
      </c>
      <c r="K86" s="198" t="s">
        <v>464</v>
      </c>
      <c r="L86" s="240">
        <v>62000</v>
      </c>
      <c r="M86" s="199">
        <v>115000</v>
      </c>
      <c r="N86" s="561" t="s">
        <v>776</v>
      </c>
      <c r="O86" s="239">
        <f t="shared" si="61"/>
        <v>85</v>
      </c>
      <c r="P86" s="201">
        <f t="shared" ref="P86" si="87">+Q86+R86+S86</f>
        <v>22</v>
      </c>
      <c r="Q86" s="202">
        <v>0</v>
      </c>
      <c r="R86" s="203">
        <v>22</v>
      </c>
      <c r="S86" s="204">
        <v>0</v>
      </c>
      <c r="T86" s="205">
        <f t="shared" ref="T86" si="88">+U86+V86+W86</f>
        <v>63</v>
      </c>
      <c r="U86" s="202">
        <v>0</v>
      </c>
      <c r="V86" s="203">
        <v>10</v>
      </c>
      <c r="W86" s="204">
        <v>53</v>
      </c>
      <c r="X86" s="209">
        <f>+Y86+Z86</f>
        <v>3</v>
      </c>
      <c r="Y86" s="203">
        <v>2</v>
      </c>
      <c r="Z86" s="201">
        <v>1</v>
      </c>
      <c r="AA86" s="208">
        <f t="shared" si="75"/>
        <v>115000</v>
      </c>
      <c r="AB86" s="209">
        <f t="shared" ref="AB86" si="89">AA86*koef</f>
        <v>69000</v>
      </c>
      <c r="AC86" s="203">
        <v>7800</v>
      </c>
      <c r="AD86" s="93">
        <f t="shared" ref="AD86:AD90" si="90">(Q86*0)+(R86*1)+(S86*0.5)+(U86*0)+(V86*0.3)+(W86*0)</f>
        <v>25</v>
      </c>
      <c r="AE86" s="210">
        <f t="shared" si="63"/>
        <v>1031.8336233325049</v>
      </c>
      <c r="AF86" s="211">
        <f t="shared" si="64"/>
        <v>25795.840583312623</v>
      </c>
      <c r="AG86" s="212">
        <f t="shared" ref="AG86:AG90" si="91">(R86*1)+(V86*0.3)</f>
        <v>25</v>
      </c>
      <c r="AH86" s="212">
        <f t="shared" si="66"/>
        <v>166.93376068376071</v>
      </c>
      <c r="AI86" s="213">
        <f t="shared" si="67"/>
        <v>4173.3440170940175</v>
      </c>
      <c r="AJ86" s="214">
        <f t="shared" ref="AJ86:AJ90" si="92">Y86</f>
        <v>2</v>
      </c>
      <c r="AK86" s="191">
        <f t="shared" si="74"/>
        <v>1831.5018315018315</v>
      </c>
      <c r="AL86" s="190">
        <f t="shared" si="76"/>
        <v>3663.003663003663</v>
      </c>
      <c r="AM86" s="211">
        <v>10000</v>
      </c>
      <c r="AN86" s="203">
        <v>0</v>
      </c>
      <c r="AO86" s="203">
        <f t="shared" si="69"/>
        <v>43632.188263410302</v>
      </c>
      <c r="AP86" s="211">
        <f t="shared" si="70"/>
        <v>43632.188263410302</v>
      </c>
      <c r="AQ86" s="215">
        <f t="shared" si="49"/>
        <v>25</v>
      </c>
      <c r="AR86" s="211">
        <f t="shared" si="71"/>
        <v>600.58929020959329</v>
      </c>
      <c r="AS86" s="216">
        <f t="shared" si="72"/>
        <v>44232.777553619897</v>
      </c>
      <c r="AT86" s="429">
        <f t="shared" si="77"/>
        <v>44200</v>
      </c>
      <c r="AU86" s="438" t="s">
        <v>126</v>
      </c>
      <c r="AV86" s="20">
        <f t="shared" si="73"/>
        <v>0</v>
      </c>
    </row>
    <row r="87" spans="1:48" s="2" customFormat="1" ht="60.6" customHeight="1" x14ac:dyDescent="0.2">
      <c r="A87" s="651"/>
      <c r="B87" s="544">
        <v>84</v>
      </c>
      <c r="C87" s="596"/>
      <c r="D87" s="265" t="s">
        <v>468</v>
      </c>
      <c r="E87" s="266" t="s">
        <v>469</v>
      </c>
      <c r="F87" s="267" t="s">
        <v>470</v>
      </c>
      <c r="G87" s="197" t="s">
        <v>189</v>
      </c>
      <c r="H87" s="198">
        <v>47815515</v>
      </c>
      <c r="I87" s="198" t="s">
        <v>471</v>
      </c>
      <c r="J87" s="198" t="s">
        <v>472</v>
      </c>
      <c r="K87" s="198" t="s">
        <v>473</v>
      </c>
      <c r="L87" s="240">
        <v>65400</v>
      </c>
      <c r="M87" s="199">
        <v>109000</v>
      </c>
      <c r="N87" s="561" t="s">
        <v>777</v>
      </c>
      <c r="O87" s="239">
        <f t="shared" si="61"/>
        <v>83</v>
      </c>
      <c r="P87" s="201">
        <f t="shared" ref="P87" si="93">+Q87+R87+S87</f>
        <v>50</v>
      </c>
      <c r="Q87" s="202">
        <v>0</v>
      </c>
      <c r="R87" s="203">
        <v>31</v>
      </c>
      <c r="S87" s="204">
        <v>19</v>
      </c>
      <c r="T87" s="205">
        <f t="shared" ref="T87" si="94">+U87+V87+W87</f>
        <v>33</v>
      </c>
      <c r="U87" s="202">
        <v>0</v>
      </c>
      <c r="V87" s="203">
        <v>0</v>
      </c>
      <c r="W87" s="204">
        <v>33</v>
      </c>
      <c r="X87" s="209">
        <f>+Y87+Z87</f>
        <v>3</v>
      </c>
      <c r="Y87" s="203">
        <v>3</v>
      </c>
      <c r="Z87" s="201">
        <v>0</v>
      </c>
      <c r="AA87" s="208">
        <f t="shared" si="75"/>
        <v>109000</v>
      </c>
      <c r="AB87" s="209">
        <f t="shared" ref="AB87:AB90" si="95">AA87*koef</f>
        <v>65400</v>
      </c>
      <c r="AC87" s="203">
        <v>25200</v>
      </c>
      <c r="AD87" s="93">
        <f t="shared" si="90"/>
        <v>40.5</v>
      </c>
      <c r="AE87" s="210">
        <f t="shared" si="63"/>
        <v>1031.8336233325049</v>
      </c>
      <c r="AF87" s="211">
        <f t="shared" si="64"/>
        <v>41789.261744966447</v>
      </c>
      <c r="AG87" s="212">
        <f t="shared" si="91"/>
        <v>31</v>
      </c>
      <c r="AH87" s="212">
        <f t="shared" si="66"/>
        <v>166.93376068376071</v>
      </c>
      <c r="AI87" s="213">
        <f t="shared" si="67"/>
        <v>5174.946581196582</v>
      </c>
      <c r="AJ87" s="214">
        <f t="shared" si="92"/>
        <v>3</v>
      </c>
      <c r="AK87" s="191">
        <f t="shared" si="74"/>
        <v>1831.5018315018315</v>
      </c>
      <c r="AL87" s="190">
        <f t="shared" si="76"/>
        <v>5494.5054945054944</v>
      </c>
      <c r="AM87" s="211">
        <v>10000</v>
      </c>
      <c r="AN87" s="203">
        <v>0</v>
      </c>
      <c r="AO87" s="203">
        <f t="shared" si="69"/>
        <v>62458.713820668527</v>
      </c>
      <c r="AP87" s="211">
        <f t="shared" si="70"/>
        <v>62458.713820668527</v>
      </c>
      <c r="AQ87" s="215">
        <f t="shared" si="49"/>
        <v>40.5</v>
      </c>
      <c r="AR87" s="211">
        <f t="shared" si="71"/>
        <v>972.95465013954117</v>
      </c>
      <c r="AS87" s="216">
        <f t="shared" si="72"/>
        <v>63431.668470808065</v>
      </c>
      <c r="AT87" s="429">
        <f t="shared" si="77"/>
        <v>63400</v>
      </c>
      <c r="AU87" s="438" t="s">
        <v>470</v>
      </c>
      <c r="AV87" s="20">
        <f t="shared" si="73"/>
        <v>0</v>
      </c>
    </row>
    <row r="88" spans="1:48" s="2" customFormat="1" ht="54.6" customHeight="1" x14ac:dyDescent="0.2">
      <c r="A88" s="651"/>
      <c r="B88" s="544">
        <v>85</v>
      </c>
      <c r="C88" s="596"/>
      <c r="D88" s="265" t="s">
        <v>522</v>
      </c>
      <c r="E88" s="266" t="s">
        <v>523</v>
      </c>
      <c r="F88" s="267" t="s">
        <v>124</v>
      </c>
      <c r="G88" s="197" t="s">
        <v>189</v>
      </c>
      <c r="H88" s="198">
        <v>66738504</v>
      </c>
      <c r="I88" s="198" t="s">
        <v>524</v>
      </c>
      <c r="J88" s="198" t="s">
        <v>685</v>
      </c>
      <c r="K88" s="198" t="s">
        <v>525</v>
      </c>
      <c r="L88" s="240">
        <v>22800</v>
      </c>
      <c r="M88" s="199">
        <v>38000</v>
      </c>
      <c r="N88" s="561" t="s">
        <v>778</v>
      </c>
      <c r="O88" s="239">
        <f t="shared" si="61"/>
        <v>81</v>
      </c>
      <c r="P88" s="201">
        <f t="shared" ref="P88:P103" si="96">+Q88+R88+S88</f>
        <v>34</v>
      </c>
      <c r="Q88" s="202">
        <v>0</v>
      </c>
      <c r="R88" s="203">
        <v>15</v>
      </c>
      <c r="S88" s="204">
        <v>19</v>
      </c>
      <c r="T88" s="205">
        <f t="shared" ref="T88:T106" si="97">+U88+V88+W88</f>
        <v>47</v>
      </c>
      <c r="U88" s="202">
        <v>0</v>
      </c>
      <c r="V88" s="203">
        <v>10</v>
      </c>
      <c r="W88" s="204">
        <v>37</v>
      </c>
      <c r="X88" s="209">
        <f>+Y88+Z88</f>
        <v>4</v>
      </c>
      <c r="Y88" s="203">
        <v>1</v>
      </c>
      <c r="Z88" s="201">
        <v>3</v>
      </c>
      <c r="AA88" s="208">
        <f t="shared" si="75"/>
        <v>38000</v>
      </c>
      <c r="AB88" s="209">
        <f t="shared" si="95"/>
        <v>22800</v>
      </c>
      <c r="AC88" s="203">
        <v>14900</v>
      </c>
      <c r="AD88" s="93">
        <f t="shared" si="90"/>
        <v>27.5</v>
      </c>
      <c r="AE88" s="210">
        <f t="shared" si="63"/>
        <v>1031.8336233325049</v>
      </c>
      <c r="AF88" s="211">
        <f t="shared" si="64"/>
        <v>28375.424641643884</v>
      </c>
      <c r="AG88" s="212">
        <f t="shared" si="91"/>
        <v>18</v>
      </c>
      <c r="AH88" s="212">
        <f t="shared" si="66"/>
        <v>166.93376068376071</v>
      </c>
      <c r="AI88" s="213">
        <f t="shared" si="67"/>
        <v>3004.8076923076928</v>
      </c>
      <c r="AJ88" s="214">
        <f>Y88</f>
        <v>1</v>
      </c>
      <c r="AK88" s="191">
        <f t="shared" si="74"/>
        <v>1831.5018315018315</v>
      </c>
      <c r="AL88" s="190">
        <f t="shared" si="76"/>
        <v>1831.5018315018315</v>
      </c>
      <c r="AM88" s="211">
        <v>10000</v>
      </c>
      <c r="AN88" s="203">
        <v>0</v>
      </c>
      <c r="AO88" s="203">
        <f t="shared" si="69"/>
        <v>43211.73416545341</v>
      </c>
      <c r="AP88" s="211">
        <f t="shared" si="70"/>
        <v>22800</v>
      </c>
      <c r="AQ88" s="215">
        <f t="shared" si="49"/>
        <v>0</v>
      </c>
      <c r="AR88" s="211">
        <f t="shared" si="71"/>
        <v>0</v>
      </c>
      <c r="AS88" s="216">
        <f t="shared" si="72"/>
        <v>22800</v>
      </c>
      <c r="AT88" s="429">
        <f t="shared" si="77"/>
        <v>22800</v>
      </c>
      <c r="AU88" s="438" t="s">
        <v>124</v>
      </c>
      <c r="AV88" s="20">
        <f t="shared" si="73"/>
        <v>1</v>
      </c>
    </row>
    <row r="89" spans="1:48" s="2" customFormat="1" ht="54.6" customHeight="1" x14ac:dyDescent="0.2">
      <c r="A89" s="651"/>
      <c r="B89" s="544">
        <v>86</v>
      </c>
      <c r="C89" s="596"/>
      <c r="D89" s="265" t="s">
        <v>552</v>
      </c>
      <c r="E89" s="266" t="s">
        <v>553</v>
      </c>
      <c r="F89" s="267" t="s">
        <v>123</v>
      </c>
      <c r="G89" s="197" t="s">
        <v>189</v>
      </c>
      <c r="H89" s="198">
        <v>66738270</v>
      </c>
      <c r="I89" s="198" t="s">
        <v>554</v>
      </c>
      <c r="J89" s="198" t="s">
        <v>555</v>
      </c>
      <c r="K89" s="198" t="s">
        <v>556</v>
      </c>
      <c r="L89" s="240">
        <v>14100</v>
      </c>
      <c r="M89" s="199">
        <v>23500</v>
      </c>
      <c r="N89" s="561" t="s">
        <v>779</v>
      </c>
      <c r="O89" s="239">
        <v>0</v>
      </c>
      <c r="P89" s="201">
        <f t="shared" si="96"/>
        <v>44</v>
      </c>
      <c r="Q89" s="202">
        <v>3</v>
      </c>
      <c r="R89" s="203">
        <v>23</v>
      </c>
      <c r="S89" s="204">
        <v>18</v>
      </c>
      <c r="T89" s="205">
        <f t="shared" si="97"/>
        <v>27</v>
      </c>
      <c r="U89" s="202">
        <v>0</v>
      </c>
      <c r="V89" s="203">
        <v>0</v>
      </c>
      <c r="W89" s="204">
        <v>27</v>
      </c>
      <c r="X89" s="209">
        <f>+Y89+Z89</f>
        <v>4</v>
      </c>
      <c r="Y89" s="203">
        <v>4</v>
      </c>
      <c r="Z89" s="201">
        <v>0</v>
      </c>
      <c r="AA89" s="208">
        <f t="shared" si="75"/>
        <v>23500</v>
      </c>
      <c r="AB89" s="209">
        <f t="shared" si="95"/>
        <v>14100</v>
      </c>
      <c r="AC89" s="203">
        <v>11700</v>
      </c>
      <c r="AD89" s="93">
        <f t="shared" si="90"/>
        <v>32</v>
      </c>
      <c r="AE89" s="210">
        <f t="shared" si="63"/>
        <v>1031.8336233325049</v>
      </c>
      <c r="AF89" s="211">
        <f t="shared" si="64"/>
        <v>33018.675946640156</v>
      </c>
      <c r="AG89" s="212">
        <f t="shared" si="91"/>
        <v>23</v>
      </c>
      <c r="AH89" s="212">
        <f t="shared" si="66"/>
        <v>166.93376068376071</v>
      </c>
      <c r="AI89" s="213">
        <f t="shared" si="67"/>
        <v>3839.4764957264965</v>
      </c>
      <c r="AJ89" s="214">
        <f>Y89</f>
        <v>4</v>
      </c>
      <c r="AK89" s="191">
        <f t="shared" si="74"/>
        <v>1831.5018315018315</v>
      </c>
      <c r="AL89" s="190">
        <f t="shared" si="76"/>
        <v>7326.0073260073259</v>
      </c>
      <c r="AM89" s="211">
        <v>10000</v>
      </c>
      <c r="AN89" s="203">
        <v>0</v>
      </c>
      <c r="AO89" s="203">
        <f t="shared" si="69"/>
        <v>54184.159768373982</v>
      </c>
      <c r="AP89" s="211">
        <f t="shared" si="70"/>
        <v>14100</v>
      </c>
      <c r="AQ89" s="215">
        <f t="shared" si="49"/>
        <v>0</v>
      </c>
      <c r="AR89" s="211">
        <f t="shared" si="71"/>
        <v>0</v>
      </c>
      <c r="AS89" s="216">
        <f t="shared" si="72"/>
        <v>14100</v>
      </c>
      <c r="AT89" s="429">
        <f t="shared" si="77"/>
        <v>14100</v>
      </c>
      <c r="AU89" s="438" t="s">
        <v>123</v>
      </c>
      <c r="AV89" s="20">
        <f t="shared" si="73"/>
        <v>1</v>
      </c>
    </row>
    <row r="90" spans="1:48" s="2" customFormat="1" ht="54.6" customHeight="1" thickBot="1" x14ac:dyDescent="0.25">
      <c r="A90" s="651"/>
      <c r="B90" s="545">
        <v>87</v>
      </c>
      <c r="C90" s="597"/>
      <c r="D90" s="268" t="s">
        <v>562</v>
      </c>
      <c r="E90" s="269" t="s">
        <v>644</v>
      </c>
      <c r="F90" s="270" t="s">
        <v>563</v>
      </c>
      <c r="G90" s="271" t="s">
        <v>189</v>
      </c>
      <c r="H90" s="272">
        <v>66738415</v>
      </c>
      <c r="I90" s="272" t="s">
        <v>564</v>
      </c>
      <c r="J90" s="272" t="s">
        <v>565</v>
      </c>
      <c r="K90" s="272" t="s">
        <v>566</v>
      </c>
      <c r="L90" s="518">
        <v>104000</v>
      </c>
      <c r="M90" s="273">
        <v>184000</v>
      </c>
      <c r="N90" s="561" t="s">
        <v>780</v>
      </c>
      <c r="O90" s="274">
        <f t="shared" ref="O90" si="98">+P90+T90</f>
        <v>148</v>
      </c>
      <c r="P90" s="275">
        <f t="shared" ref="P90" si="99">+Q90+R90+S90</f>
        <v>90</v>
      </c>
      <c r="Q90" s="276">
        <v>11</v>
      </c>
      <c r="R90" s="277">
        <v>59</v>
      </c>
      <c r="S90" s="278">
        <v>20</v>
      </c>
      <c r="T90" s="279">
        <f t="shared" ref="T90" si="100">+U90+V90+W90</f>
        <v>58</v>
      </c>
      <c r="U90" s="280">
        <v>0</v>
      </c>
      <c r="V90" s="281">
        <v>9</v>
      </c>
      <c r="W90" s="282">
        <v>49</v>
      </c>
      <c r="X90" s="283">
        <f>+Y90+Z90</f>
        <v>18</v>
      </c>
      <c r="Y90" s="277">
        <v>15</v>
      </c>
      <c r="Z90" s="275">
        <v>3</v>
      </c>
      <c r="AA90" s="284">
        <f t="shared" si="75"/>
        <v>184000</v>
      </c>
      <c r="AB90" s="283">
        <f t="shared" si="95"/>
        <v>110400</v>
      </c>
      <c r="AC90" s="277">
        <v>21600</v>
      </c>
      <c r="AD90" s="285">
        <f t="shared" si="90"/>
        <v>71.7</v>
      </c>
      <c r="AE90" s="286">
        <f t="shared" si="63"/>
        <v>1031.8336233325049</v>
      </c>
      <c r="AF90" s="287">
        <f t="shared" si="64"/>
        <v>73982.470792940599</v>
      </c>
      <c r="AG90" s="288">
        <f t="shared" si="91"/>
        <v>61.7</v>
      </c>
      <c r="AH90" s="288">
        <f t="shared" si="66"/>
        <v>166.93376068376071</v>
      </c>
      <c r="AI90" s="289">
        <f t="shared" si="67"/>
        <v>10299.813034188037</v>
      </c>
      <c r="AJ90" s="290">
        <f t="shared" si="92"/>
        <v>15</v>
      </c>
      <c r="AK90" s="291">
        <f t="shared" si="74"/>
        <v>1831.5018315018315</v>
      </c>
      <c r="AL90" s="292">
        <f t="shared" si="76"/>
        <v>27472.527472527472</v>
      </c>
      <c r="AM90" s="287">
        <v>10000</v>
      </c>
      <c r="AN90" s="277">
        <v>0</v>
      </c>
      <c r="AO90" s="277">
        <f t="shared" si="69"/>
        <v>121754.81129965611</v>
      </c>
      <c r="AP90" s="287">
        <f t="shared" si="70"/>
        <v>110400</v>
      </c>
      <c r="AQ90" s="293">
        <f t="shared" si="49"/>
        <v>0</v>
      </c>
      <c r="AR90" s="287">
        <f t="shared" si="71"/>
        <v>0</v>
      </c>
      <c r="AS90" s="294">
        <f t="shared" si="72"/>
        <v>110400</v>
      </c>
      <c r="AT90" s="431">
        <f t="shared" si="77"/>
        <v>110400</v>
      </c>
      <c r="AU90" s="445" t="s">
        <v>563</v>
      </c>
      <c r="AV90" s="20">
        <f t="shared" si="73"/>
        <v>1</v>
      </c>
    </row>
    <row r="91" spans="1:48" s="12" customFormat="1" ht="26.45" customHeight="1" x14ac:dyDescent="0.2">
      <c r="A91" s="651"/>
      <c r="B91" s="512"/>
      <c r="C91" s="515"/>
      <c r="D91" s="295"/>
      <c r="E91" s="296"/>
      <c r="F91" s="297"/>
      <c r="G91" s="298"/>
      <c r="H91" s="299"/>
      <c r="I91" s="299"/>
      <c r="J91" s="299"/>
      <c r="K91" s="300"/>
      <c r="L91" s="301"/>
      <c r="M91" s="302"/>
      <c r="N91" s="302"/>
      <c r="O91" s="303">
        <f t="shared" si="61"/>
        <v>11592</v>
      </c>
      <c r="P91" s="301">
        <f t="shared" ref="P91:AA91" si="101">SUM(P6:P90)</f>
        <v>3017</v>
      </c>
      <c r="Q91" s="301">
        <f t="shared" si="101"/>
        <v>41</v>
      </c>
      <c r="R91" s="301">
        <f t="shared" si="101"/>
        <v>1725</v>
      </c>
      <c r="S91" s="301">
        <f t="shared" si="101"/>
        <v>1251</v>
      </c>
      <c r="T91" s="301">
        <f t="shared" si="101"/>
        <v>8575</v>
      </c>
      <c r="U91" s="301">
        <f t="shared" si="101"/>
        <v>357</v>
      </c>
      <c r="V91" s="301">
        <f t="shared" si="101"/>
        <v>4234</v>
      </c>
      <c r="W91" s="301">
        <f t="shared" si="101"/>
        <v>3984</v>
      </c>
      <c r="X91" s="301">
        <f t="shared" si="101"/>
        <v>306</v>
      </c>
      <c r="Y91" s="301">
        <f t="shared" si="101"/>
        <v>273</v>
      </c>
      <c r="Z91" s="304">
        <f t="shared" si="101"/>
        <v>29</v>
      </c>
      <c r="AA91" s="305">
        <f t="shared" si="101"/>
        <v>29439292</v>
      </c>
      <c r="AB91" s="306"/>
      <c r="AC91" s="301"/>
      <c r="AD91" s="307">
        <f>SUM(AD6:AD90)</f>
        <v>3620.6999999999994</v>
      </c>
      <c r="AE91" s="308">
        <f>SUM(AE6:AE90)</f>
        <v>87705.857983262962</v>
      </c>
      <c r="AF91" s="308">
        <f>SUM(AF6:AF90)</f>
        <v>3735960.0000000005</v>
      </c>
      <c r="AG91" s="309">
        <f>SUM(AG6:AG90)</f>
        <v>2995.1999999999994</v>
      </c>
      <c r="AH91" s="308"/>
      <c r="AI91" s="301">
        <f>SUM(AI6:AI90)</f>
        <v>500000</v>
      </c>
      <c r="AJ91" s="301">
        <f>SUM(AJ6:AJ90)</f>
        <v>273</v>
      </c>
      <c r="AK91" s="308"/>
      <c r="AL91" s="301">
        <f t="shared" ref="AL91:AT91" si="102">SUM(AL6:AL90)</f>
        <v>500000.00000000023</v>
      </c>
      <c r="AM91" s="301">
        <f t="shared" si="102"/>
        <v>850000</v>
      </c>
      <c r="AN91" s="301">
        <f t="shared" si="102"/>
        <v>0</v>
      </c>
      <c r="AO91" s="301">
        <f t="shared" si="102"/>
        <v>5585960.0000000009</v>
      </c>
      <c r="AP91" s="301">
        <f t="shared" si="102"/>
        <v>5502538.1475898884</v>
      </c>
      <c r="AQ91" s="301">
        <f t="shared" si="102"/>
        <v>3472.4999999999995</v>
      </c>
      <c r="AR91" s="301">
        <f t="shared" si="102"/>
        <v>83421.852410112537</v>
      </c>
      <c r="AS91" s="304">
        <f t="shared" si="102"/>
        <v>5585960.0000000019</v>
      </c>
      <c r="AT91" s="437">
        <f t="shared" si="102"/>
        <v>5585800</v>
      </c>
      <c r="AU91" s="446"/>
      <c r="AV91" s="20"/>
    </row>
    <row r="92" spans="1:48" s="12" customFormat="1" ht="18" customHeight="1" thickBot="1" x14ac:dyDescent="0.25">
      <c r="A92" s="651"/>
      <c r="B92" s="512"/>
      <c r="C92" s="516"/>
      <c r="D92" s="310"/>
      <c r="E92" s="311"/>
      <c r="F92" s="312"/>
      <c r="G92" s="313"/>
      <c r="H92" s="314"/>
      <c r="I92" s="314"/>
      <c r="J92" s="314"/>
      <c r="K92" s="315"/>
      <c r="L92" s="316"/>
      <c r="M92" s="317"/>
      <c r="N92" s="317"/>
      <c r="O92" s="318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9"/>
      <c r="AA92" s="320"/>
      <c r="AB92" s="321"/>
      <c r="AC92" s="316"/>
      <c r="AD92" s="322">
        <f>J127</f>
        <v>1179682</v>
      </c>
      <c r="AE92" s="323">
        <f>AD104</f>
        <v>2171.2999999999997</v>
      </c>
      <c r="AF92" s="324"/>
      <c r="AG92" s="322">
        <f>J126</f>
        <v>158730</v>
      </c>
      <c r="AH92" s="323">
        <f>AG104</f>
        <v>1981.2999999999997</v>
      </c>
      <c r="AI92" s="316"/>
      <c r="AJ92" s="325">
        <f>J125</f>
        <v>158730</v>
      </c>
      <c r="AK92" s="323">
        <f>AJ104</f>
        <v>184</v>
      </c>
      <c r="AL92" s="316"/>
      <c r="AM92" s="316"/>
      <c r="AN92" s="316"/>
      <c r="AO92" s="316"/>
      <c r="AP92" s="316"/>
      <c r="AQ92" s="326"/>
      <c r="AR92" s="316"/>
      <c r="AS92" s="319"/>
      <c r="AT92" s="450"/>
      <c r="AU92" s="446"/>
      <c r="AV92" s="20"/>
    </row>
    <row r="93" spans="1:48" s="6" customFormat="1" ht="33" customHeight="1" x14ac:dyDescent="0.2">
      <c r="A93" s="651"/>
      <c r="B93" s="546">
        <v>88</v>
      </c>
      <c r="C93" s="592" t="s">
        <v>648</v>
      </c>
      <c r="D93" s="327" t="s">
        <v>591</v>
      </c>
      <c r="E93" s="328" t="s">
        <v>629</v>
      </c>
      <c r="F93" s="329" t="s">
        <v>592</v>
      </c>
      <c r="G93" s="174" t="s">
        <v>189</v>
      </c>
      <c r="H93" s="175">
        <v>13643185</v>
      </c>
      <c r="I93" s="175" t="s">
        <v>593</v>
      </c>
      <c r="J93" s="175" t="s">
        <v>594</v>
      </c>
      <c r="K93" s="175" t="s">
        <v>595</v>
      </c>
      <c r="L93" s="517">
        <v>900000</v>
      </c>
      <c r="M93" s="176">
        <v>3520000</v>
      </c>
      <c r="N93" s="561" t="s">
        <v>781</v>
      </c>
      <c r="O93" s="177">
        <f t="shared" si="61"/>
        <v>1306</v>
      </c>
      <c r="P93" s="178">
        <f t="shared" si="96"/>
        <v>615</v>
      </c>
      <c r="Q93" s="179">
        <v>0</v>
      </c>
      <c r="R93" s="180">
        <v>581</v>
      </c>
      <c r="S93" s="181">
        <v>34</v>
      </c>
      <c r="T93" s="183">
        <f t="shared" si="97"/>
        <v>691</v>
      </c>
      <c r="U93" s="184">
        <v>0</v>
      </c>
      <c r="V93" s="184">
        <v>673</v>
      </c>
      <c r="W93" s="178">
        <v>18</v>
      </c>
      <c r="X93" s="179">
        <f t="shared" ref="X93:X103" si="103">+Y93+Z93</f>
        <v>39</v>
      </c>
      <c r="Y93" s="180">
        <v>35</v>
      </c>
      <c r="Z93" s="181">
        <v>4</v>
      </c>
      <c r="AA93" s="330">
        <v>3520000</v>
      </c>
      <c r="AB93" s="183">
        <f t="shared" ref="AB93:AB103" si="104">AA93*koef</f>
        <v>2112000</v>
      </c>
      <c r="AC93" s="184">
        <v>367300</v>
      </c>
      <c r="AD93" s="186">
        <f t="shared" ref="AD93:AD103" si="105">(Q93*0)+(R93*1)+(S93*0.5)+(U93*0)+(V93*0.3)+(W93*0)</f>
        <v>799.9</v>
      </c>
      <c r="AE93" s="187">
        <f t="shared" ref="AE93:AE103" si="106">sumaS3/celkemčlen</f>
        <v>543.30677474324148</v>
      </c>
      <c r="AF93" s="188">
        <f t="shared" ref="AF93:AF103" si="107">AD93*AE93</f>
        <v>434591.08911711886</v>
      </c>
      <c r="AG93" s="189">
        <f t="shared" ref="AG93:AG103" si="108">(R93*1)+(V93*0.3)</f>
        <v>782.9</v>
      </c>
      <c r="AH93" s="189">
        <f t="shared" ref="AH93:AH103" si="109">sumadetiS3/detiS3</f>
        <v>80.114066521980533</v>
      </c>
      <c r="AI93" s="190">
        <f>AG93*AH93</f>
        <v>62721.302680058558</v>
      </c>
      <c r="AJ93" s="191">
        <f t="shared" ref="AJ93:AJ103" si="110">Y93</f>
        <v>35</v>
      </c>
      <c r="AK93" s="191">
        <f t="shared" ref="AK93:AK103" si="111">sumatrenerS3/treneriS3</f>
        <v>862.66304347826087</v>
      </c>
      <c r="AL93" s="190">
        <f>AJ93*AK93</f>
        <v>30193.206521739132</v>
      </c>
      <c r="AM93" s="188">
        <v>10000</v>
      </c>
      <c r="AN93" s="184">
        <v>0</v>
      </c>
      <c r="AO93" s="184">
        <f>AF93+AI93+AL93+AM93</f>
        <v>537505.59831891651</v>
      </c>
      <c r="AP93" s="188">
        <f t="shared" ref="AP93:AP103" si="112">IF(AV93=1,AB93,AO93)</f>
        <v>537505.59831891651</v>
      </c>
      <c r="AQ93" s="192"/>
      <c r="AR93" s="188"/>
      <c r="AS93" s="178">
        <f t="shared" ref="AS93:AS103" si="113">IF(AV93=1,AP93,AO93)</f>
        <v>537505.59831891651</v>
      </c>
      <c r="AT93" s="432">
        <f>ROUND(AS93,-2)</f>
        <v>537500</v>
      </c>
      <c r="AU93" s="451" t="s">
        <v>592</v>
      </c>
      <c r="AV93" s="20">
        <f t="shared" ref="AV93:AV103" si="114">IF(AB93&gt;=AO93,0,1)</f>
        <v>0</v>
      </c>
    </row>
    <row r="94" spans="1:48" s="6" customFormat="1" ht="33" customHeight="1" x14ac:dyDescent="0.2">
      <c r="A94" s="651"/>
      <c r="B94" s="547">
        <v>89</v>
      </c>
      <c r="C94" s="593"/>
      <c r="D94" s="331" t="s">
        <v>596</v>
      </c>
      <c r="E94" s="332" t="s">
        <v>630</v>
      </c>
      <c r="F94" s="333" t="s">
        <v>114</v>
      </c>
      <c r="G94" s="197" t="s">
        <v>197</v>
      </c>
      <c r="H94" s="198">
        <v>26998637</v>
      </c>
      <c r="I94" s="198" t="s">
        <v>597</v>
      </c>
      <c r="J94" s="198" t="s">
        <v>241</v>
      </c>
      <c r="K94" s="198" t="s">
        <v>242</v>
      </c>
      <c r="L94" s="240">
        <v>550000</v>
      </c>
      <c r="M94" s="199">
        <v>3210000</v>
      </c>
      <c r="N94" s="561" t="s">
        <v>782</v>
      </c>
      <c r="O94" s="200">
        <f t="shared" si="61"/>
        <v>305</v>
      </c>
      <c r="P94" s="201">
        <f t="shared" si="96"/>
        <v>102</v>
      </c>
      <c r="Q94" s="202">
        <v>0</v>
      </c>
      <c r="R94" s="203">
        <v>92</v>
      </c>
      <c r="S94" s="204">
        <v>10</v>
      </c>
      <c r="T94" s="209">
        <f t="shared" si="97"/>
        <v>203</v>
      </c>
      <c r="U94" s="203">
        <v>14</v>
      </c>
      <c r="V94" s="203">
        <v>112</v>
      </c>
      <c r="W94" s="201">
        <v>77</v>
      </c>
      <c r="X94" s="202">
        <f t="shared" si="103"/>
        <v>8</v>
      </c>
      <c r="Y94" s="203">
        <v>8</v>
      </c>
      <c r="Z94" s="204">
        <v>0</v>
      </c>
      <c r="AA94" s="208">
        <f t="shared" ref="AA94:AA103" si="115">M94</f>
        <v>3210000</v>
      </c>
      <c r="AB94" s="209">
        <f t="shared" si="104"/>
        <v>1926000</v>
      </c>
      <c r="AC94" s="203">
        <v>670000</v>
      </c>
      <c r="AD94" s="93">
        <f t="shared" si="105"/>
        <v>130.6</v>
      </c>
      <c r="AE94" s="210">
        <f t="shared" si="106"/>
        <v>543.30677474324148</v>
      </c>
      <c r="AF94" s="211">
        <f t="shared" si="107"/>
        <v>70955.864781467331</v>
      </c>
      <c r="AG94" s="212">
        <f t="shared" si="108"/>
        <v>125.6</v>
      </c>
      <c r="AH94" s="212">
        <f t="shared" si="109"/>
        <v>80.114066521980533</v>
      </c>
      <c r="AI94" s="213">
        <f t="shared" ref="AI94:AI103" si="116">AG94*AH94</f>
        <v>10062.326755160755</v>
      </c>
      <c r="AJ94" s="214">
        <f t="shared" si="110"/>
        <v>8</v>
      </c>
      <c r="AK94" s="214">
        <f t="shared" si="111"/>
        <v>862.66304347826087</v>
      </c>
      <c r="AL94" s="213">
        <f t="shared" ref="AL94:AL103" si="117">AJ94*AK94</f>
        <v>6901.304347826087</v>
      </c>
      <c r="AM94" s="211">
        <v>10000</v>
      </c>
      <c r="AN94" s="203">
        <v>0</v>
      </c>
      <c r="AO94" s="203">
        <f t="shared" ref="AO94:AO103" si="118">AF94+AI94+AL94+AM94</f>
        <v>97919.495884454169</v>
      </c>
      <c r="AP94" s="211">
        <f t="shared" si="112"/>
        <v>97919.495884454169</v>
      </c>
      <c r="AQ94" s="215"/>
      <c r="AR94" s="211"/>
      <c r="AS94" s="201">
        <f t="shared" si="113"/>
        <v>97919.495884454169</v>
      </c>
      <c r="AT94" s="433">
        <f t="shared" ref="AT94:AT103" si="119">ROUND(AS94,-2)</f>
        <v>97900</v>
      </c>
      <c r="AU94" s="438" t="s">
        <v>114</v>
      </c>
      <c r="AV94" s="20">
        <f t="shared" si="114"/>
        <v>0</v>
      </c>
    </row>
    <row r="95" spans="1:48" s="6" customFormat="1" ht="33" customHeight="1" x14ac:dyDescent="0.2">
      <c r="A95" s="651"/>
      <c r="B95" s="547">
        <v>90</v>
      </c>
      <c r="C95" s="593"/>
      <c r="D95" s="331" t="s">
        <v>598</v>
      </c>
      <c r="E95" s="332" t="s">
        <v>631</v>
      </c>
      <c r="F95" s="333" t="s">
        <v>59</v>
      </c>
      <c r="G95" s="197" t="s">
        <v>197</v>
      </c>
      <c r="H95" s="198">
        <v>26534991</v>
      </c>
      <c r="I95" s="198" t="s">
        <v>599</v>
      </c>
      <c r="J95" s="198" t="s">
        <v>600</v>
      </c>
      <c r="K95" s="198" t="s">
        <v>601</v>
      </c>
      <c r="L95" s="240">
        <v>420000</v>
      </c>
      <c r="M95" s="199">
        <v>1300000</v>
      </c>
      <c r="N95" s="561" t="s">
        <v>783</v>
      </c>
      <c r="O95" s="200">
        <f t="shared" si="61"/>
        <v>176</v>
      </c>
      <c r="P95" s="201">
        <f t="shared" si="96"/>
        <v>176</v>
      </c>
      <c r="Q95" s="202">
        <v>9</v>
      </c>
      <c r="R95" s="203">
        <v>81</v>
      </c>
      <c r="S95" s="204">
        <v>86</v>
      </c>
      <c r="T95" s="209">
        <f t="shared" si="97"/>
        <v>0</v>
      </c>
      <c r="U95" s="203">
        <v>0</v>
      </c>
      <c r="V95" s="203">
        <v>0</v>
      </c>
      <c r="W95" s="201">
        <v>0</v>
      </c>
      <c r="X95" s="202">
        <f t="shared" si="103"/>
        <v>11</v>
      </c>
      <c r="Y95" s="203">
        <v>11</v>
      </c>
      <c r="Z95" s="204">
        <v>0</v>
      </c>
      <c r="AA95" s="208">
        <f t="shared" si="115"/>
        <v>1300000</v>
      </c>
      <c r="AB95" s="209">
        <f t="shared" si="104"/>
        <v>780000</v>
      </c>
      <c r="AC95" s="203">
        <v>102500</v>
      </c>
      <c r="AD95" s="93">
        <f t="shared" si="105"/>
        <v>124</v>
      </c>
      <c r="AE95" s="210">
        <f t="shared" si="106"/>
        <v>543.30677474324148</v>
      </c>
      <c r="AF95" s="211">
        <f t="shared" si="107"/>
        <v>67370.040068161936</v>
      </c>
      <c r="AG95" s="212">
        <f t="shared" si="108"/>
        <v>81</v>
      </c>
      <c r="AH95" s="212">
        <f t="shared" si="109"/>
        <v>80.114066521980533</v>
      </c>
      <c r="AI95" s="213">
        <f t="shared" si="116"/>
        <v>6489.2393882804236</v>
      </c>
      <c r="AJ95" s="214">
        <f t="shared" si="110"/>
        <v>11</v>
      </c>
      <c r="AK95" s="214">
        <f t="shared" si="111"/>
        <v>862.66304347826087</v>
      </c>
      <c r="AL95" s="213">
        <f t="shared" si="117"/>
        <v>9489.29347826087</v>
      </c>
      <c r="AM95" s="211">
        <v>10000</v>
      </c>
      <c r="AN95" s="203">
        <v>0</v>
      </c>
      <c r="AO95" s="203">
        <f t="shared" si="118"/>
        <v>93348.572934703217</v>
      </c>
      <c r="AP95" s="211">
        <f t="shared" si="112"/>
        <v>93348.572934703217</v>
      </c>
      <c r="AQ95" s="215"/>
      <c r="AR95" s="211"/>
      <c r="AS95" s="201">
        <f t="shared" si="113"/>
        <v>93348.572934703217</v>
      </c>
      <c r="AT95" s="433">
        <f t="shared" si="119"/>
        <v>93300</v>
      </c>
      <c r="AU95" s="438" t="s">
        <v>59</v>
      </c>
      <c r="AV95" s="20">
        <f t="shared" si="114"/>
        <v>0</v>
      </c>
    </row>
    <row r="96" spans="1:48" s="6" customFormat="1" ht="33" customHeight="1" x14ac:dyDescent="0.2">
      <c r="A96" s="651"/>
      <c r="B96" s="547">
        <v>91</v>
      </c>
      <c r="C96" s="593"/>
      <c r="D96" s="331" t="s">
        <v>602</v>
      </c>
      <c r="E96" s="332" t="s">
        <v>632</v>
      </c>
      <c r="F96" s="333" t="s">
        <v>106</v>
      </c>
      <c r="G96" s="197" t="s">
        <v>197</v>
      </c>
      <c r="H96" s="198" t="s">
        <v>105</v>
      </c>
      <c r="I96" s="198" t="s">
        <v>603</v>
      </c>
      <c r="J96" s="198" t="s">
        <v>234</v>
      </c>
      <c r="K96" s="198" t="s">
        <v>235</v>
      </c>
      <c r="L96" s="240">
        <v>332000</v>
      </c>
      <c r="M96" s="199">
        <v>721000</v>
      </c>
      <c r="N96" s="561" t="s">
        <v>784</v>
      </c>
      <c r="O96" s="200">
        <f t="shared" si="61"/>
        <v>113</v>
      </c>
      <c r="P96" s="201">
        <f t="shared" si="96"/>
        <v>97</v>
      </c>
      <c r="Q96" s="202">
        <v>0</v>
      </c>
      <c r="R96" s="203">
        <v>55</v>
      </c>
      <c r="S96" s="204">
        <v>42</v>
      </c>
      <c r="T96" s="209">
        <f t="shared" si="97"/>
        <v>16</v>
      </c>
      <c r="U96" s="203">
        <v>1</v>
      </c>
      <c r="V96" s="203">
        <v>0</v>
      </c>
      <c r="W96" s="201">
        <v>15</v>
      </c>
      <c r="X96" s="202">
        <f>+Y96+Z96</f>
        <v>7</v>
      </c>
      <c r="Y96" s="203">
        <v>7</v>
      </c>
      <c r="Z96" s="204">
        <v>0</v>
      </c>
      <c r="AA96" s="208">
        <f t="shared" si="115"/>
        <v>721000</v>
      </c>
      <c r="AB96" s="209">
        <f>AA96*koef</f>
        <v>432600</v>
      </c>
      <c r="AC96" s="203">
        <v>11400</v>
      </c>
      <c r="AD96" s="93">
        <f t="shared" si="105"/>
        <v>76</v>
      </c>
      <c r="AE96" s="210">
        <f t="shared" si="106"/>
        <v>543.30677474324148</v>
      </c>
      <c r="AF96" s="211">
        <f t="shared" si="107"/>
        <v>41291.314880486352</v>
      </c>
      <c r="AG96" s="212">
        <f t="shared" si="108"/>
        <v>55</v>
      </c>
      <c r="AH96" s="212">
        <f t="shared" si="109"/>
        <v>80.114066521980533</v>
      </c>
      <c r="AI96" s="213">
        <f t="shared" si="116"/>
        <v>4406.2736587089294</v>
      </c>
      <c r="AJ96" s="214">
        <f t="shared" si="110"/>
        <v>7</v>
      </c>
      <c r="AK96" s="214">
        <f t="shared" si="111"/>
        <v>862.66304347826087</v>
      </c>
      <c r="AL96" s="213">
        <f t="shared" si="117"/>
        <v>6038.641304347826</v>
      </c>
      <c r="AM96" s="211">
        <v>10000</v>
      </c>
      <c r="AN96" s="203">
        <v>0</v>
      </c>
      <c r="AO96" s="203">
        <f t="shared" si="118"/>
        <v>61736.229843543108</v>
      </c>
      <c r="AP96" s="211">
        <f t="shared" si="112"/>
        <v>61736.229843543108</v>
      </c>
      <c r="AQ96" s="215"/>
      <c r="AR96" s="211"/>
      <c r="AS96" s="201">
        <f t="shared" si="113"/>
        <v>61736.229843543108</v>
      </c>
      <c r="AT96" s="433">
        <f t="shared" si="119"/>
        <v>61700</v>
      </c>
      <c r="AU96" s="438" t="s">
        <v>106</v>
      </c>
      <c r="AV96" s="20">
        <f t="shared" si="114"/>
        <v>0</v>
      </c>
    </row>
    <row r="97" spans="1:48" s="6" customFormat="1" ht="33" customHeight="1" x14ac:dyDescent="0.2">
      <c r="A97" s="651"/>
      <c r="B97" s="547">
        <v>92</v>
      </c>
      <c r="C97" s="593"/>
      <c r="D97" s="331" t="s">
        <v>604</v>
      </c>
      <c r="E97" s="332" t="s">
        <v>633</v>
      </c>
      <c r="F97" s="333" t="s">
        <v>119</v>
      </c>
      <c r="G97" s="197" t="s">
        <v>197</v>
      </c>
      <c r="H97" s="198">
        <v>68177470</v>
      </c>
      <c r="I97" s="198" t="s">
        <v>605</v>
      </c>
      <c r="J97" s="198" t="s">
        <v>241</v>
      </c>
      <c r="K97" s="198" t="s">
        <v>242</v>
      </c>
      <c r="L97" s="240">
        <v>355000</v>
      </c>
      <c r="M97" s="199">
        <v>1367000</v>
      </c>
      <c r="N97" s="561" t="s">
        <v>785</v>
      </c>
      <c r="O97" s="200">
        <f t="shared" si="61"/>
        <v>104</v>
      </c>
      <c r="P97" s="201">
        <f t="shared" si="96"/>
        <v>60</v>
      </c>
      <c r="Q97" s="202">
        <v>0</v>
      </c>
      <c r="R97" s="203">
        <v>42</v>
      </c>
      <c r="S97" s="204">
        <v>18</v>
      </c>
      <c r="T97" s="209">
        <f t="shared" si="97"/>
        <v>44</v>
      </c>
      <c r="U97" s="203">
        <v>1</v>
      </c>
      <c r="V97" s="203">
        <v>10</v>
      </c>
      <c r="W97" s="201">
        <v>33</v>
      </c>
      <c r="X97" s="202">
        <f t="shared" si="103"/>
        <v>7</v>
      </c>
      <c r="Y97" s="203">
        <v>6</v>
      </c>
      <c r="Z97" s="204">
        <v>1</v>
      </c>
      <c r="AA97" s="208">
        <f t="shared" si="115"/>
        <v>1367000</v>
      </c>
      <c r="AB97" s="209">
        <f t="shared" si="104"/>
        <v>820200</v>
      </c>
      <c r="AC97" s="203">
        <v>295000</v>
      </c>
      <c r="AD97" s="93">
        <f t="shared" si="105"/>
        <v>54</v>
      </c>
      <c r="AE97" s="210">
        <f t="shared" si="106"/>
        <v>543.30677474324148</v>
      </c>
      <c r="AF97" s="211">
        <f t="shared" si="107"/>
        <v>29338.56583613504</v>
      </c>
      <c r="AG97" s="212">
        <f t="shared" si="108"/>
        <v>45</v>
      </c>
      <c r="AH97" s="212">
        <f t="shared" si="109"/>
        <v>80.114066521980533</v>
      </c>
      <c r="AI97" s="213">
        <f t="shared" si="116"/>
        <v>3605.1329934891241</v>
      </c>
      <c r="AJ97" s="214">
        <f t="shared" si="110"/>
        <v>6</v>
      </c>
      <c r="AK97" s="214">
        <f t="shared" si="111"/>
        <v>862.66304347826087</v>
      </c>
      <c r="AL97" s="213">
        <f t="shared" si="117"/>
        <v>5175.978260869565</v>
      </c>
      <c r="AM97" s="211">
        <v>10000</v>
      </c>
      <c r="AN97" s="203">
        <v>0</v>
      </c>
      <c r="AO97" s="203">
        <f t="shared" si="118"/>
        <v>48119.677090493729</v>
      </c>
      <c r="AP97" s="211">
        <f t="shared" si="112"/>
        <v>48119.677090493729</v>
      </c>
      <c r="AQ97" s="215"/>
      <c r="AR97" s="211"/>
      <c r="AS97" s="201">
        <f t="shared" si="113"/>
        <v>48119.677090493729</v>
      </c>
      <c r="AT97" s="433">
        <f t="shared" si="119"/>
        <v>48100</v>
      </c>
      <c r="AU97" s="438" t="s">
        <v>119</v>
      </c>
      <c r="AV97" s="20">
        <f t="shared" si="114"/>
        <v>0</v>
      </c>
    </row>
    <row r="98" spans="1:48" s="6" customFormat="1" ht="33" customHeight="1" x14ac:dyDescent="0.2">
      <c r="A98" s="651"/>
      <c r="B98" s="547">
        <v>93</v>
      </c>
      <c r="C98" s="593"/>
      <c r="D98" s="331" t="s">
        <v>606</v>
      </c>
      <c r="E98" s="332" t="s">
        <v>634</v>
      </c>
      <c r="F98" s="333" t="s">
        <v>607</v>
      </c>
      <c r="G98" s="197" t="s">
        <v>197</v>
      </c>
      <c r="H98" s="198">
        <v>42869196</v>
      </c>
      <c r="I98" s="198" t="s">
        <v>608</v>
      </c>
      <c r="J98" s="198" t="s">
        <v>609</v>
      </c>
      <c r="K98" s="198" t="s">
        <v>610</v>
      </c>
      <c r="L98" s="240">
        <v>885000</v>
      </c>
      <c r="M98" s="199">
        <v>3023000</v>
      </c>
      <c r="N98" s="561" t="s">
        <v>786</v>
      </c>
      <c r="O98" s="200">
        <f t="shared" si="61"/>
        <v>375</v>
      </c>
      <c r="P98" s="201">
        <f t="shared" si="96"/>
        <v>169</v>
      </c>
      <c r="Q98" s="202">
        <v>1</v>
      </c>
      <c r="R98" s="203">
        <v>120</v>
      </c>
      <c r="S98" s="204">
        <v>48</v>
      </c>
      <c r="T98" s="209">
        <f t="shared" si="97"/>
        <v>206</v>
      </c>
      <c r="U98" s="203">
        <v>14</v>
      </c>
      <c r="V98" s="203">
        <v>136</v>
      </c>
      <c r="W98" s="201">
        <v>56</v>
      </c>
      <c r="X98" s="202">
        <f t="shared" si="103"/>
        <v>73</v>
      </c>
      <c r="Y98" s="203">
        <v>64</v>
      </c>
      <c r="Z98" s="204">
        <v>9</v>
      </c>
      <c r="AA98" s="208">
        <f t="shared" si="115"/>
        <v>3023000</v>
      </c>
      <c r="AB98" s="209">
        <f t="shared" si="104"/>
        <v>1813800</v>
      </c>
      <c r="AC98" s="203">
        <v>910000</v>
      </c>
      <c r="AD98" s="93">
        <f t="shared" si="105"/>
        <v>184.8</v>
      </c>
      <c r="AE98" s="210">
        <f t="shared" si="106"/>
        <v>543.30677474324148</v>
      </c>
      <c r="AF98" s="211">
        <f t="shared" si="107"/>
        <v>100403.09197255103</v>
      </c>
      <c r="AG98" s="212">
        <f t="shared" si="108"/>
        <v>160.80000000000001</v>
      </c>
      <c r="AH98" s="212">
        <f t="shared" si="109"/>
        <v>80.114066521980533</v>
      </c>
      <c r="AI98" s="213">
        <f t="shared" si="116"/>
        <v>12882.341896734471</v>
      </c>
      <c r="AJ98" s="214">
        <f t="shared" si="110"/>
        <v>64</v>
      </c>
      <c r="AK98" s="214">
        <f t="shared" si="111"/>
        <v>862.66304347826087</v>
      </c>
      <c r="AL98" s="213">
        <f t="shared" si="117"/>
        <v>55210.434782608696</v>
      </c>
      <c r="AM98" s="211">
        <v>10000</v>
      </c>
      <c r="AN98" s="203">
        <v>0</v>
      </c>
      <c r="AO98" s="203">
        <f t="shared" si="118"/>
        <v>178495.86865189421</v>
      </c>
      <c r="AP98" s="211">
        <f t="shared" si="112"/>
        <v>178495.86865189421</v>
      </c>
      <c r="AQ98" s="215"/>
      <c r="AR98" s="211"/>
      <c r="AS98" s="201">
        <f t="shared" si="113"/>
        <v>178495.86865189421</v>
      </c>
      <c r="AT98" s="433">
        <f t="shared" si="119"/>
        <v>178500</v>
      </c>
      <c r="AU98" s="438" t="s">
        <v>607</v>
      </c>
      <c r="AV98" s="20">
        <f t="shared" si="114"/>
        <v>0</v>
      </c>
    </row>
    <row r="99" spans="1:48" s="6" customFormat="1" ht="33" customHeight="1" x14ac:dyDescent="0.2">
      <c r="A99" s="651"/>
      <c r="B99" s="547">
        <v>94</v>
      </c>
      <c r="C99" s="593"/>
      <c r="D99" s="331" t="s">
        <v>611</v>
      </c>
      <c r="E99" s="332" t="s">
        <v>635</v>
      </c>
      <c r="F99" s="333" t="s">
        <v>612</v>
      </c>
      <c r="G99" s="197" t="s">
        <v>197</v>
      </c>
      <c r="H99" s="198">
        <v>68941749</v>
      </c>
      <c r="I99" s="198" t="s">
        <v>613</v>
      </c>
      <c r="J99" s="198" t="s">
        <v>241</v>
      </c>
      <c r="K99" s="198" t="s">
        <v>242</v>
      </c>
      <c r="L99" s="240">
        <v>350000</v>
      </c>
      <c r="M99" s="199">
        <v>2920000</v>
      </c>
      <c r="N99" s="561" t="s">
        <v>787</v>
      </c>
      <c r="O99" s="200">
        <f t="shared" si="61"/>
        <v>53</v>
      </c>
      <c r="P99" s="201">
        <f t="shared" si="96"/>
        <v>25</v>
      </c>
      <c r="Q99" s="202">
        <v>0</v>
      </c>
      <c r="R99" s="203">
        <v>6</v>
      </c>
      <c r="S99" s="204">
        <v>19</v>
      </c>
      <c r="T99" s="209">
        <f t="shared" si="97"/>
        <v>28</v>
      </c>
      <c r="U99" s="203">
        <v>1</v>
      </c>
      <c r="V99" s="203">
        <v>24</v>
      </c>
      <c r="W99" s="201">
        <v>3</v>
      </c>
      <c r="X99" s="202">
        <f t="shared" si="103"/>
        <v>7</v>
      </c>
      <c r="Y99" s="203">
        <v>7</v>
      </c>
      <c r="Z99" s="204">
        <v>0</v>
      </c>
      <c r="AA99" s="208">
        <f t="shared" si="115"/>
        <v>2920000</v>
      </c>
      <c r="AB99" s="209">
        <f t="shared" si="104"/>
        <v>1752000</v>
      </c>
      <c r="AC99" s="203">
        <v>20000</v>
      </c>
      <c r="AD99" s="93">
        <f t="shared" si="105"/>
        <v>22.7</v>
      </c>
      <c r="AE99" s="210">
        <f t="shared" si="106"/>
        <v>543.30677474324148</v>
      </c>
      <c r="AF99" s="211">
        <f t="shared" si="107"/>
        <v>12333.063786671581</v>
      </c>
      <c r="AG99" s="212">
        <f t="shared" si="108"/>
        <v>13.2</v>
      </c>
      <c r="AH99" s="212">
        <f t="shared" si="109"/>
        <v>80.114066521980533</v>
      </c>
      <c r="AI99" s="213">
        <f t="shared" si="116"/>
        <v>1057.505678090143</v>
      </c>
      <c r="AJ99" s="214">
        <f t="shared" si="110"/>
        <v>7</v>
      </c>
      <c r="AK99" s="214">
        <f t="shared" si="111"/>
        <v>862.66304347826087</v>
      </c>
      <c r="AL99" s="213">
        <f t="shared" si="117"/>
        <v>6038.641304347826</v>
      </c>
      <c r="AM99" s="211">
        <v>10000</v>
      </c>
      <c r="AN99" s="203">
        <v>0</v>
      </c>
      <c r="AO99" s="203">
        <f t="shared" si="118"/>
        <v>29429.210769109552</v>
      </c>
      <c r="AP99" s="211">
        <f t="shared" si="112"/>
        <v>29429.210769109552</v>
      </c>
      <c r="AQ99" s="215"/>
      <c r="AR99" s="211"/>
      <c r="AS99" s="201">
        <f t="shared" si="113"/>
        <v>29429.210769109552</v>
      </c>
      <c r="AT99" s="433">
        <f t="shared" si="119"/>
        <v>29400</v>
      </c>
      <c r="AU99" s="438" t="s">
        <v>612</v>
      </c>
      <c r="AV99" s="20">
        <f t="shared" si="114"/>
        <v>0</v>
      </c>
    </row>
    <row r="100" spans="1:48" s="6" customFormat="1" ht="33" customHeight="1" x14ac:dyDescent="0.2">
      <c r="A100" s="651"/>
      <c r="B100" s="547">
        <v>95</v>
      </c>
      <c r="C100" s="593"/>
      <c r="D100" s="331" t="s">
        <v>614</v>
      </c>
      <c r="E100" s="332" t="s">
        <v>636</v>
      </c>
      <c r="F100" s="333" t="s">
        <v>110</v>
      </c>
      <c r="G100" s="197" t="s">
        <v>197</v>
      </c>
      <c r="H100" s="198" t="s">
        <v>109</v>
      </c>
      <c r="I100" s="198" t="s">
        <v>615</v>
      </c>
      <c r="J100" s="198" t="s">
        <v>241</v>
      </c>
      <c r="K100" s="198" t="s">
        <v>242</v>
      </c>
      <c r="L100" s="240">
        <v>293000</v>
      </c>
      <c r="M100" s="199">
        <v>675000</v>
      </c>
      <c r="N100" s="561" t="s">
        <v>788</v>
      </c>
      <c r="O100" s="200">
        <f t="shared" si="61"/>
        <v>72</v>
      </c>
      <c r="P100" s="201">
        <f t="shared" si="96"/>
        <v>47</v>
      </c>
      <c r="Q100" s="202">
        <v>0</v>
      </c>
      <c r="R100" s="203">
        <v>36</v>
      </c>
      <c r="S100" s="204">
        <v>11</v>
      </c>
      <c r="T100" s="209">
        <f t="shared" si="97"/>
        <v>25</v>
      </c>
      <c r="U100" s="203">
        <v>0</v>
      </c>
      <c r="V100" s="203">
        <v>7</v>
      </c>
      <c r="W100" s="201">
        <v>18</v>
      </c>
      <c r="X100" s="202">
        <f t="shared" si="103"/>
        <v>6</v>
      </c>
      <c r="Y100" s="203">
        <v>6</v>
      </c>
      <c r="Z100" s="204">
        <v>0</v>
      </c>
      <c r="AA100" s="208">
        <f t="shared" si="115"/>
        <v>675000</v>
      </c>
      <c r="AB100" s="209">
        <f t="shared" si="104"/>
        <v>405000</v>
      </c>
      <c r="AC100" s="203">
        <v>62000</v>
      </c>
      <c r="AD100" s="93">
        <f t="shared" si="105"/>
        <v>43.6</v>
      </c>
      <c r="AE100" s="210">
        <f t="shared" si="106"/>
        <v>543.30677474324148</v>
      </c>
      <c r="AF100" s="211">
        <f t="shared" si="107"/>
        <v>23688.175378805328</v>
      </c>
      <c r="AG100" s="212">
        <f t="shared" si="108"/>
        <v>38.1</v>
      </c>
      <c r="AH100" s="212">
        <f t="shared" si="109"/>
        <v>80.114066521980533</v>
      </c>
      <c r="AI100" s="213">
        <f t="shared" si="116"/>
        <v>3052.3459344874586</v>
      </c>
      <c r="AJ100" s="214">
        <f t="shared" si="110"/>
        <v>6</v>
      </c>
      <c r="AK100" s="214">
        <f t="shared" si="111"/>
        <v>862.66304347826087</v>
      </c>
      <c r="AL100" s="213">
        <f t="shared" si="117"/>
        <v>5175.978260869565</v>
      </c>
      <c r="AM100" s="211">
        <v>10000</v>
      </c>
      <c r="AN100" s="203">
        <v>0</v>
      </c>
      <c r="AO100" s="203">
        <f t="shared" si="118"/>
        <v>41916.49957416235</v>
      </c>
      <c r="AP100" s="211">
        <f t="shared" si="112"/>
        <v>41916.49957416235</v>
      </c>
      <c r="AQ100" s="215"/>
      <c r="AR100" s="211"/>
      <c r="AS100" s="201">
        <f t="shared" si="113"/>
        <v>41916.49957416235</v>
      </c>
      <c r="AT100" s="433">
        <f t="shared" si="119"/>
        <v>41900</v>
      </c>
      <c r="AU100" s="438" t="s">
        <v>110</v>
      </c>
      <c r="AV100" s="20">
        <f t="shared" si="114"/>
        <v>0</v>
      </c>
    </row>
    <row r="101" spans="1:48" s="6" customFormat="1" ht="33" customHeight="1" x14ac:dyDescent="0.2">
      <c r="A101" s="651"/>
      <c r="B101" s="547">
        <v>96</v>
      </c>
      <c r="C101" s="593"/>
      <c r="D101" s="331" t="s">
        <v>616</v>
      </c>
      <c r="E101" s="332" t="s">
        <v>637</v>
      </c>
      <c r="F101" s="333" t="s">
        <v>133</v>
      </c>
      <c r="G101" s="197" t="s">
        <v>197</v>
      </c>
      <c r="H101" s="198">
        <v>70630119</v>
      </c>
      <c r="I101" s="198" t="s">
        <v>617</v>
      </c>
      <c r="J101" s="198" t="s">
        <v>618</v>
      </c>
      <c r="K101" s="198" t="s">
        <v>619</v>
      </c>
      <c r="L101" s="240">
        <v>705000</v>
      </c>
      <c r="M101" s="199">
        <v>2705000</v>
      </c>
      <c r="N101" s="561" t="s">
        <v>789</v>
      </c>
      <c r="O101" s="200">
        <f t="shared" si="61"/>
        <v>564</v>
      </c>
      <c r="P101" s="201">
        <f t="shared" si="96"/>
        <v>202</v>
      </c>
      <c r="Q101" s="202">
        <v>0</v>
      </c>
      <c r="R101" s="203">
        <v>117</v>
      </c>
      <c r="S101" s="204">
        <v>85</v>
      </c>
      <c r="T101" s="209">
        <f t="shared" si="97"/>
        <v>362</v>
      </c>
      <c r="U101" s="203">
        <v>0</v>
      </c>
      <c r="V101" s="203">
        <v>260</v>
      </c>
      <c r="W101" s="201">
        <v>102</v>
      </c>
      <c r="X101" s="202">
        <f t="shared" si="103"/>
        <v>34</v>
      </c>
      <c r="Y101" s="203">
        <v>23</v>
      </c>
      <c r="Z101" s="204">
        <v>11</v>
      </c>
      <c r="AA101" s="208">
        <f t="shared" si="115"/>
        <v>2705000</v>
      </c>
      <c r="AB101" s="209">
        <f t="shared" si="104"/>
        <v>1623000</v>
      </c>
      <c r="AC101" s="203">
        <v>915000</v>
      </c>
      <c r="AD101" s="93">
        <f t="shared" si="105"/>
        <v>237.5</v>
      </c>
      <c r="AE101" s="210">
        <f t="shared" si="106"/>
        <v>543.30677474324148</v>
      </c>
      <c r="AF101" s="211">
        <f t="shared" si="107"/>
        <v>129035.35900151986</v>
      </c>
      <c r="AG101" s="212">
        <f t="shared" si="108"/>
        <v>195</v>
      </c>
      <c r="AH101" s="212">
        <f t="shared" si="109"/>
        <v>80.114066521980533</v>
      </c>
      <c r="AI101" s="213">
        <f t="shared" si="116"/>
        <v>15622.242971786203</v>
      </c>
      <c r="AJ101" s="214">
        <f t="shared" si="110"/>
        <v>23</v>
      </c>
      <c r="AK101" s="214">
        <f t="shared" si="111"/>
        <v>862.66304347826087</v>
      </c>
      <c r="AL101" s="213">
        <f t="shared" si="117"/>
        <v>19841.25</v>
      </c>
      <c r="AM101" s="211">
        <v>10000</v>
      </c>
      <c r="AN101" s="203">
        <v>0</v>
      </c>
      <c r="AO101" s="203">
        <f t="shared" si="118"/>
        <v>174498.85197330607</v>
      </c>
      <c r="AP101" s="211">
        <f t="shared" si="112"/>
        <v>174498.85197330607</v>
      </c>
      <c r="AQ101" s="215"/>
      <c r="AR101" s="211"/>
      <c r="AS101" s="201">
        <f t="shared" si="113"/>
        <v>174498.85197330607</v>
      </c>
      <c r="AT101" s="433">
        <f t="shared" si="119"/>
        <v>174500</v>
      </c>
      <c r="AU101" s="438" t="s">
        <v>133</v>
      </c>
      <c r="AV101" s="20">
        <f t="shared" si="114"/>
        <v>0</v>
      </c>
    </row>
    <row r="102" spans="1:48" s="6" customFormat="1" ht="44.25" customHeight="1" x14ac:dyDescent="0.2">
      <c r="A102" s="651"/>
      <c r="B102" s="547">
        <v>97</v>
      </c>
      <c r="C102" s="593"/>
      <c r="D102" s="331" t="s">
        <v>620</v>
      </c>
      <c r="E102" s="332" t="s">
        <v>638</v>
      </c>
      <c r="F102" s="333" t="s">
        <v>99</v>
      </c>
      <c r="G102" s="197" t="s">
        <v>197</v>
      </c>
      <c r="H102" s="198">
        <v>65888774</v>
      </c>
      <c r="I102" s="198" t="s">
        <v>621</v>
      </c>
      <c r="J102" s="198" t="s">
        <v>622</v>
      </c>
      <c r="K102" s="198" t="s">
        <v>623</v>
      </c>
      <c r="L102" s="240">
        <v>866000</v>
      </c>
      <c r="M102" s="199">
        <v>1575000</v>
      </c>
      <c r="N102" s="561" t="s">
        <v>790</v>
      </c>
      <c r="O102" s="200">
        <f t="shared" si="61"/>
        <v>250</v>
      </c>
      <c r="P102" s="201">
        <f t="shared" si="96"/>
        <v>224</v>
      </c>
      <c r="Q102" s="202">
        <v>0</v>
      </c>
      <c r="R102" s="203">
        <v>212</v>
      </c>
      <c r="S102" s="204">
        <v>12</v>
      </c>
      <c r="T102" s="209">
        <f t="shared" si="97"/>
        <v>26</v>
      </c>
      <c r="U102" s="203">
        <v>2</v>
      </c>
      <c r="V102" s="203">
        <v>16</v>
      </c>
      <c r="W102" s="201">
        <v>8</v>
      </c>
      <c r="X102" s="202">
        <f t="shared" si="103"/>
        <v>9</v>
      </c>
      <c r="Y102" s="203">
        <v>7</v>
      </c>
      <c r="Z102" s="204">
        <v>2</v>
      </c>
      <c r="AA102" s="208">
        <f t="shared" si="115"/>
        <v>1575000</v>
      </c>
      <c r="AB102" s="209">
        <f t="shared" si="104"/>
        <v>945000</v>
      </c>
      <c r="AC102" s="203">
        <v>426000</v>
      </c>
      <c r="AD102" s="93">
        <f t="shared" si="105"/>
        <v>222.8</v>
      </c>
      <c r="AE102" s="210">
        <f t="shared" si="106"/>
        <v>543.30677474324148</v>
      </c>
      <c r="AF102" s="211">
        <f t="shared" si="107"/>
        <v>121048.7494127942</v>
      </c>
      <c r="AG102" s="212">
        <f t="shared" si="108"/>
        <v>216.8</v>
      </c>
      <c r="AH102" s="212">
        <f t="shared" si="109"/>
        <v>80.114066521980533</v>
      </c>
      <c r="AI102" s="213">
        <f t="shared" si="116"/>
        <v>17368.72962196538</v>
      </c>
      <c r="AJ102" s="214">
        <f t="shared" si="110"/>
        <v>7</v>
      </c>
      <c r="AK102" s="214">
        <f t="shared" si="111"/>
        <v>862.66304347826087</v>
      </c>
      <c r="AL102" s="213">
        <f t="shared" si="117"/>
        <v>6038.641304347826</v>
      </c>
      <c r="AM102" s="211">
        <v>10000</v>
      </c>
      <c r="AN102" s="203">
        <v>0</v>
      </c>
      <c r="AO102" s="203">
        <f t="shared" si="118"/>
        <v>154456.12033910741</v>
      </c>
      <c r="AP102" s="211">
        <f t="shared" si="112"/>
        <v>154456.12033910741</v>
      </c>
      <c r="AQ102" s="215"/>
      <c r="AR102" s="211"/>
      <c r="AS102" s="201">
        <f t="shared" si="113"/>
        <v>154456.12033910741</v>
      </c>
      <c r="AT102" s="433">
        <f t="shared" si="119"/>
        <v>154500</v>
      </c>
      <c r="AU102" s="438" t="s">
        <v>99</v>
      </c>
      <c r="AV102" s="20">
        <f t="shared" si="114"/>
        <v>0</v>
      </c>
    </row>
    <row r="103" spans="1:48" s="6" customFormat="1" ht="36.75" customHeight="1" thickBot="1" x14ac:dyDescent="0.25">
      <c r="A103" s="651"/>
      <c r="B103" s="548">
        <v>98</v>
      </c>
      <c r="C103" s="594"/>
      <c r="D103" s="334" t="s">
        <v>624</v>
      </c>
      <c r="E103" s="335" t="s">
        <v>639</v>
      </c>
      <c r="F103" s="336" t="s">
        <v>127</v>
      </c>
      <c r="G103" s="271" t="s">
        <v>197</v>
      </c>
      <c r="H103" s="272">
        <v>26541645</v>
      </c>
      <c r="I103" s="272" t="s">
        <v>625</v>
      </c>
      <c r="J103" s="272" t="s">
        <v>241</v>
      </c>
      <c r="K103" s="272" t="s">
        <v>242</v>
      </c>
      <c r="L103" s="518">
        <v>450000</v>
      </c>
      <c r="M103" s="273">
        <v>2355000</v>
      </c>
      <c r="N103" s="561" t="s">
        <v>791</v>
      </c>
      <c r="O103" s="337">
        <f t="shared" si="61"/>
        <v>357</v>
      </c>
      <c r="P103" s="275">
        <f t="shared" si="96"/>
        <v>279</v>
      </c>
      <c r="Q103" s="280">
        <v>0</v>
      </c>
      <c r="R103" s="281">
        <v>264</v>
      </c>
      <c r="S103" s="282">
        <v>15</v>
      </c>
      <c r="T103" s="283">
        <f t="shared" si="97"/>
        <v>78</v>
      </c>
      <c r="U103" s="277">
        <v>1</v>
      </c>
      <c r="V103" s="277">
        <v>13</v>
      </c>
      <c r="W103" s="275">
        <v>64</v>
      </c>
      <c r="X103" s="280">
        <f t="shared" si="103"/>
        <v>10</v>
      </c>
      <c r="Y103" s="281">
        <v>10</v>
      </c>
      <c r="Z103" s="282">
        <v>0</v>
      </c>
      <c r="AA103" s="338">
        <f t="shared" si="115"/>
        <v>2355000</v>
      </c>
      <c r="AB103" s="283">
        <f t="shared" si="104"/>
        <v>1413000</v>
      </c>
      <c r="AC103" s="277">
        <v>244000</v>
      </c>
      <c r="AD103" s="285">
        <f t="shared" si="105"/>
        <v>275.39999999999998</v>
      </c>
      <c r="AE103" s="286">
        <f t="shared" si="106"/>
        <v>543.30677474324148</v>
      </c>
      <c r="AF103" s="287">
        <f t="shared" si="107"/>
        <v>149626.6857642887</v>
      </c>
      <c r="AG103" s="288">
        <f t="shared" si="108"/>
        <v>267.89999999999998</v>
      </c>
      <c r="AH103" s="288">
        <f t="shared" si="109"/>
        <v>80.114066521980533</v>
      </c>
      <c r="AI103" s="289">
        <f t="shared" si="116"/>
        <v>21462.558421238584</v>
      </c>
      <c r="AJ103" s="290">
        <f t="shared" si="110"/>
        <v>10</v>
      </c>
      <c r="AK103" s="290">
        <f t="shared" si="111"/>
        <v>862.66304347826087</v>
      </c>
      <c r="AL103" s="289">
        <f t="shared" si="117"/>
        <v>8626.6304347826081</v>
      </c>
      <c r="AM103" s="287">
        <v>10000</v>
      </c>
      <c r="AN103" s="277">
        <v>0</v>
      </c>
      <c r="AO103" s="277">
        <f t="shared" si="118"/>
        <v>189715.87462030991</v>
      </c>
      <c r="AP103" s="287">
        <f t="shared" si="112"/>
        <v>189715.87462030991</v>
      </c>
      <c r="AQ103" s="293"/>
      <c r="AR103" s="287"/>
      <c r="AS103" s="275">
        <f t="shared" si="113"/>
        <v>189715.87462030991</v>
      </c>
      <c r="AT103" s="434">
        <f t="shared" si="119"/>
        <v>189700</v>
      </c>
      <c r="AU103" s="454" t="s">
        <v>127</v>
      </c>
      <c r="AV103" s="20">
        <f t="shared" si="114"/>
        <v>0</v>
      </c>
    </row>
    <row r="104" spans="1:48" s="12" customFormat="1" ht="26.45" customHeight="1" x14ac:dyDescent="0.2">
      <c r="A104" s="651"/>
      <c r="B104" s="512"/>
      <c r="C104" s="339"/>
      <c r="D104" s="340"/>
      <c r="E104" s="341"/>
      <c r="F104" s="342"/>
      <c r="G104" s="343"/>
      <c r="H104" s="344"/>
      <c r="I104" s="344"/>
      <c r="J104" s="344"/>
      <c r="K104" s="345"/>
      <c r="L104" s="346"/>
      <c r="M104" s="346"/>
      <c r="N104" s="346"/>
      <c r="O104" s="347">
        <f t="shared" ref="O104:O107" si="120">+P104+T104</f>
        <v>3675</v>
      </c>
      <c r="P104" s="348">
        <f t="shared" ref="P104:P106" si="121">+Q104+R104+S104</f>
        <v>1996</v>
      </c>
      <c r="Q104" s="301">
        <f t="shared" ref="Q104:AT104" si="122">SUM(Q93:Q103)</f>
        <v>10</v>
      </c>
      <c r="R104" s="301">
        <f t="shared" si="122"/>
        <v>1606</v>
      </c>
      <c r="S104" s="301">
        <f t="shared" si="122"/>
        <v>380</v>
      </c>
      <c r="T104" s="301">
        <f>SUM(T93:T103)</f>
        <v>1679</v>
      </c>
      <c r="U104" s="301">
        <f t="shared" si="122"/>
        <v>34</v>
      </c>
      <c r="V104" s="301">
        <f t="shared" si="122"/>
        <v>1251</v>
      </c>
      <c r="W104" s="301">
        <f t="shared" si="122"/>
        <v>394</v>
      </c>
      <c r="X104" s="301">
        <f t="shared" si="122"/>
        <v>211</v>
      </c>
      <c r="Y104" s="301">
        <f t="shared" si="122"/>
        <v>184</v>
      </c>
      <c r="Z104" s="301">
        <f t="shared" si="122"/>
        <v>27</v>
      </c>
      <c r="AA104" s="301">
        <f t="shared" si="122"/>
        <v>23371000</v>
      </c>
      <c r="AB104" s="301"/>
      <c r="AC104" s="301">
        <f t="shared" si="122"/>
        <v>4023200</v>
      </c>
      <c r="AD104" s="301">
        <f t="shared" si="122"/>
        <v>2171.2999999999997</v>
      </c>
      <c r="AE104" s="301"/>
      <c r="AF104" s="301">
        <f t="shared" si="122"/>
        <v>1179682.0000000005</v>
      </c>
      <c r="AG104" s="301">
        <f t="shared" si="122"/>
        <v>1981.2999999999997</v>
      </c>
      <c r="AH104" s="301">
        <f t="shared" si="122"/>
        <v>881.25473174178569</v>
      </c>
      <c r="AI104" s="301">
        <f t="shared" si="122"/>
        <v>158730.00000000003</v>
      </c>
      <c r="AJ104" s="301">
        <f t="shared" si="122"/>
        <v>184</v>
      </c>
      <c r="AK104" s="301"/>
      <c r="AL104" s="301">
        <f t="shared" si="122"/>
        <v>158730</v>
      </c>
      <c r="AM104" s="301">
        <f t="shared" si="122"/>
        <v>110000</v>
      </c>
      <c r="AN104" s="301">
        <f t="shared" si="122"/>
        <v>0</v>
      </c>
      <c r="AO104" s="348">
        <f t="shared" si="122"/>
        <v>1607142.0000000005</v>
      </c>
      <c r="AP104" s="301">
        <f t="shared" si="122"/>
        <v>1607142.0000000005</v>
      </c>
      <c r="AQ104" s="349"/>
      <c r="AR104" s="301"/>
      <c r="AS104" s="304">
        <f t="shared" si="122"/>
        <v>1607142.0000000005</v>
      </c>
      <c r="AT104" s="452">
        <f t="shared" si="122"/>
        <v>1607000</v>
      </c>
      <c r="AU104" s="455"/>
      <c r="AV104" s="20"/>
    </row>
    <row r="105" spans="1:48" s="19" customFormat="1" ht="19.5" customHeight="1" thickBot="1" x14ac:dyDescent="0.25">
      <c r="A105" s="651"/>
      <c r="B105" s="418"/>
      <c r="C105" s="514"/>
      <c r="D105" s="351"/>
      <c r="E105" s="352"/>
      <c r="F105" s="353"/>
      <c r="G105" s="354"/>
      <c r="H105" s="355"/>
      <c r="I105" s="355"/>
      <c r="J105" s="355"/>
      <c r="K105" s="356"/>
      <c r="L105" s="357"/>
      <c r="M105" s="357"/>
      <c r="N105" s="357"/>
      <c r="O105" s="358">
        <f t="shared" si="120"/>
        <v>0</v>
      </c>
      <c r="P105" s="359">
        <f t="shared" si="121"/>
        <v>0</v>
      </c>
      <c r="Q105" s="357"/>
      <c r="R105" s="357"/>
      <c r="S105" s="357"/>
      <c r="T105" s="359">
        <f t="shared" si="97"/>
        <v>0</v>
      </c>
      <c r="U105" s="357"/>
      <c r="V105" s="357"/>
      <c r="W105" s="357"/>
      <c r="X105" s="357"/>
      <c r="Y105" s="357"/>
      <c r="Z105" s="357"/>
      <c r="AA105" s="357"/>
      <c r="AB105" s="357"/>
      <c r="AC105" s="357"/>
      <c r="AD105" s="357"/>
      <c r="AE105" s="360"/>
      <c r="AF105" s="357"/>
      <c r="AG105" s="361"/>
      <c r="AH105" s="361"/>
      <c r="AI105" s="357"/>
      <c r="AJ105" s="357"/>
      <c r="AK105" s="360"/>
      <c r="AL105" s="357"/>
      <c r="AM105" s="357"/>
      <c r="AN105" s="357"/>
      <c r="AO105" s="357"/>
      <c r="AP105" s="357"/>
      <c r="AQ105" s="362"/>
      <c r="AR105" s="357"/>
      <c r="AS105" s="436"/>
      <c r="AT105" s="453"/>
      <c r="AU105" s="456"/>
      <c r="AV105" s="20"/>
    </row>
    <row r="106" spans="1:48" s="4" customFormat="1" ht="51" customHeight="1" x14ac:dyDescent="0.2">
      <c r="A106" s="651"/>
      <c r="B106" s="543">
        <v>99</v>
      </c>
      <c r="C106" s="590" t="s">
        <v>25</v>
      </c>
      <c r="D106" s="363" t="s">
        <v>557</v>
      </c>
      <c r="E106" s="364" t="s">
        <v>646</v>
      </c>
      <c r="F106" s="173" t="s">
        <v>53</v>
      </c>
      <c r="G106" s="174" t="s">
        <v>197</v>
      </c>
      <c r="H106" s="175" t="s">
        <v>52</v>
      </c>
      <c r="I106" s="175" t="s">
        <v>250</v>
      </c>
      <c r="J106" s="175" t="s">
        <v>241</v>
      </c>
      <c r="K106" s="175" t="s">
        <v>242</v>
      </c>
      <c r="L106" s="517">
        <v>400000</v>
      </c>
      <c r="M106" s="176">
        <v>2964000</v>
      </c>
      <c r="N106" s="561" t="s">
        <v>792</v>
      </c>
      <c r="O106" s="177">
        <v>16363</v>
      </c>
      <c r="P106" s="184">
        <f t="shared" si="121"/>
        <v>0</v>
      </c>
      <c r="Q106" s="184"/>
      <c r="R106" s="184"/>
      <c r="S106" s="184"/>
      <c r="T106" s="184">
        <f t="shared" si="97"/>
        <v>0</v>
      </c>
      <c r="U106" s="184"/>
      <c r="V106" s="184"/>
      <c r="W106" s="184"/>
      <c r="X106" s="184">
        <f>+Y106+Z106</f>
        <v>0</v>
      </c>
      <c r="Y106" s="184"/>
      <c r="Z106" s="178"/>
      <c r="AA106" s="365">
        <f>M106</f>
        <v>2964000</v>
      </c>
      <c r="AB106" s="183">
        <f t="shared" ref="AB106:AB107" si="123">AA106*koef</f>
        <v>1778400</v>
      </c>
      <c r="AC106" s="184">
        <v>600000</v>
      </c>
      <c r="AD106" s="184">
        <f>SUM(X106:Z106)</f>
        <v>0</v>
      </c>
      <c r="AE106" s="187"/>
      <c r="AF106" s="188"/>
      <c r="AG106" s="189"/>
      <c r="AH106" s="189"/>
      <c r="AI106" s="190"/>
      <c r="AJ106" s="191"/>
      <c r="AK106" s="191"/>
      <c r="AL106" s="190"/>
      <c r="AM106" s="188"/>
      <c r="AN106" s="184">
        <f>O106*30</f>
        <v>490890</v>
      </c>
      <c r="AO106" s="184">
        <f>AN106</f>
        <v>490890</v>
      </c>
      <c r="AP106" s="188">
        <v>400000</v>
      </c>
      <c r="AQ106" s="366"/>
      <c r="AR106" s="188"/>
      <c r="AS106" s="178">
        <v>400000</v>
      </c>
      <c r="AT106" s="429">
        <f>ROUND(AS106,-2)</f>
        <v>400000</v>
      </c>
      <c r="AU106" s="442" t="s">
        <v>53</v>
      </c>
      <c r="AV106" s="20"/>
    </row>
    <row r="107" spans="1:48" s="4" customFormat="1" ht="51" customHeight="1" thickBot="1" x14ac:dyDescent="0.25">
      <c r="A107" s="652"/>
      <c r="B107" s="545">
        <v>100</v>
      </c>
      <c r="C107" s="591"/>
      <c r="D107" s="367" t="s">
        <v>538</v>
      </c>
      <c r="E107" s="368" t="s">
        <v>645</v>
      </c>
      <c r="F107" s="369" t="s">
        <v>125</v>
      </c>
      <c r="G107" s="271" t="s">
        <v>189</v>
      </c>
      <c r="H107" s="272">
        <v>47815973</v>
      </c>
      <c r="I107" s="272" t="s">
        <v>290</v>
      </c>
      <c r="J107" s="272" t="s">
        <v>291</v>
      </c>
      <c r="K107" s="272" t="s">
        <v>292</v>
      </c>
      <c r="L107" s="518">
        <v>21000</v>
      </c>
      <c r="M107" s="273">
        <v>35000</v>
      </c>
      <c r="N107" s="561" t="s">
        <v>793</v>
      </c>
      <c r="O107" s="337">
        <f t="shared" si="120"/>
        <v>468</v>
      </c>
      <c r="P107" s="281">
        <f t="shared" ref="P107" si="124">+Q107+R107+S107</f>
        <v>240</v>
      </c>
      <c r="Q107" s="277">
        <v>14</v>
      </c>
      <c r="R107" s="277">
        <v>150</v>
      </c>
      <c r="S107" s="277">
        <v>76</v>
      </c>
      <c r="T107" s="277">
        <f t="shared" ref="T107" si="125">+U107+V107+W107</f>
        <v>228</v>
      </c>
      <c r="U107" s="277">
        <v>0</v>
      </c>
      <c r="V107" s="277">
        <v>29</v>
      </c>
      <c r="W107" s="277">
        <v>199</v>
      </c>
      <c r="X107" s="277">
        <f>+Y107+Z107</f>
        <v>32</v>
      </c>
      <c r="Y107" s="277">
        <v>25</v>
      </c>
      <c r="Z107" s="275">
        <v>7</v>
      </c>
      <c r="AA107" s="370">
        <v>39000</v>
      </c>
      <c r="AB107" s="283">
        <f t="shared" si="123"/>
        <v>23400</v>
      </c>
      <c r="AC107" s="277">
        <v>53800</v>
      </c>
      <c r="AD107" s="277">
        <f>SUM(X107:Z107)</f>
        <v>64</v>
      </c>
      <c r="AE107" s="371"/>
      <c r="AF107" s="372"/>
      <c r="AG107" s="373"/>
      <c r="AH107" s="373"/>
      <c r="AI107" s="292"/>
      <c r="AJ107" s="291"/>
      <c r="AK107" s="291"/>
      <c r="AL107" s="292"/>
      <c r="AM107" s="372"/>
      <c r="AN107" s="277">
        <f>O107*30</f>
        <v>14040</v>
      </c>
      <c r="AO107" s="277">
        <f>AN107</f>
        <v>14040</v>
      </c>
      <c r="AP107" s="287">
        <v>14040</v>
      </c>
      <c r="AQ107" s="374"/>
      <c r="AR107" s="287"/>
      <c r="AS107" s="275">
        <v>14040</v>
      </c>
      <c r="AT107" s="435">
        <f>ROUND(AS107,-2)</f>
        <v>14000</v>
      </c>
      <c r="AU107" s="447" t="s">
        <v>125</v>
      </c>
      <c r="AV107" s="20"/>
    </row>
    <row r="108" spans="1:48" ht="26.45" customHeight="1" x14ac:dyDescent="0.2">
      <c r="A108" s="549"/>
      <c r="C108" s="520"/>
      <c r="D108" s="521"/>
      <c r="E108" s="522"/>
      <c r="F108" s="523"/>
      <c r="G108" s="524"/>
      <c r="H108" s="524"/>
      <c r="I108" s="524"/>
      <c r="J108" s="524"/>
      <c r="K108" s="525"/>
      <c r="L108" s="526"/>
      <c r="M108" s="527"/>
      <c r="N108" s="521"/>
      <c r="O108" s="528"/>
      <c r="P108" s="528"/>
      <c r="Q108" s="527"/>
      <c r="R108" s="527"/>
      <c r="S108" s="527"/>
      <c r="T108" s="527"/>
      <c r="U108" s="527"/>
      <c r="V108" s="527"/>
      <c r="W108" s="527"/>
      <c r="X108" s="528"/>
      <c r="Y108" s="528"/>
      <c r="Z108" s="528"/>
      <c r="AA108" s="529"/>
      <c r="AB108" s="530"/>
      <c r="AC108" s="530"/>
      <c r="AD108" s="530"/>
      <c r="AE108" s="531"/>
      <c r="AF108" s="529"/>
      <c r="AG108" s="532"/>
      <c r="AH108" s="532"/>
      <c r="AI108" s="533"/>
      <c r="AJ108" s="534"/>
      <c r="AK108" s="535"/>
      <c r="AL108" s="536"/>
      <c r="AM108" s="537"/>
      <c r="AN108" s="527"/>
      <c r="AO108" s="538"/>
      <c r="AP108" s="539">
        <f>SUM(AP106:AP107)</f>
        <v>414040</v>
      </c>
      <c r="AQ108" s="527"/>
      <c r="AR108" s="527"/>
      <c r="AS108" s="539">
        <f t="shared" ref="AS108:AT108" si="126">SUM(AS106:AS107)</f>
        <v>414040</v>
      </c>
      <c r="AT108" s="540">
        <f t="shared" si="126"/>
        <v>414000</v>
      </c>
    </row>
    <row r="109" spans="1:48" s="542" customFormat="1" ht="47.25" customHeight="1" x14ac:dyDescent="0.2">
      <c r="A109" s="653" t="s">
        <v>827</v>
      </c>
      <c r="B109" s="654"/>
      <c r="C109" s="603" t="s">
        <v>362</v>
      </c>
      <c r="D109" s="603"/>
      <c r="E109" s="560" t="s">
        <v>363</v>
      </c>
      <c r="F109" s="559" t="s">
        <v>364</v>
      </c>
      <c r="G109" s="242" t="s">
        <v>197</v>
      </c>
      <c r="H109" s="243">
        <v>47814454</v>
      </c>
      <c r="I109" s="243" t="s">
        <v>365</v>
      </c>
      <c r="J109" s="243" t="s">
        <v>366</v>
      </c>
      <c r="K109" s="243" t="s">
        <v>367</v>
      </c>
      <c r="L109" s="221">
        <v>0</v>
      </c>
      <c r="M109" s="221">
        <v>0</v>
      </c>
      <c r="N109" s="222"/>
      <c r="O109" s="223">
        <f t="shared" ref="O109:O110" si="127">+P109+T109</f>
        <v>0</v>
      </c>
      <c r="P109" s="224">
        <f t="shared" ref="P109:P110" si="128">+Q109+R109+S109</f>
        <v>0</v>
      </c>
      <c r="Q109" s="225"/>
      <c r="R109" s="226"/>
      <c r="S109" s="227"/>
      <c r="T109" s="228">
        <f t="shared" ref="T109:T110" si="129">+U109+V109+W109</f>
        <v>0</v>
      </c>
      <c r="U109" s="225"/>
      <c r="V109" s="226"/>
      <c r="W109" s="227"/>
      <c r="X109" s="229">
        <f t="shared" ref="X109:X110" si="130">+Y109+Z109</f>
        <v>0</v>
      </c>
      <c r="Y109" s="226"/>
      <c r="Z109" s="224"/>
      <c r="AA109" s="230">
        <v>0</v>
      </c>
      <c r="AB109" s="229">
        <v>0</v>
      </c>
      <c r="AC109" s="226"/>
      <c r="AD109" s="231">
        <f t="shared" ref="AD109:AD110" si="131">(Q109*0)+(R109*1)+(S109*0.5)+(U109*0)+(V109*0.3)+(W109*0)</f>
        <v>0</v>
      </c>
      <c r="AE109" s="232">
        <v>0</v>
      </c>
      <c r="AF109" s="233">
        <f t="shared" ref="AF109:AF110" si="132">AD109*AE109</f>
        <v>0</v>
      </c>
      <c r="AG109" s="234">
        <f t="shared" ref="AG109:AG110" si="133">(R109*1)+(V109*0.3)</f>
        <v>0</v>
      </c>
      <c r="AH109" s="234">
        <v>0</v>
      </c>
      <c r="AI109" s="233">
        <f t="shared" ref="AI109:AI110" si="134">AG109*AH109</f>
        <v>0</v>
      </c>
      <c r="AJ109" s="232">
        <f t="shared" ref="AJ109" si="135">Y109</f>
        <v>0</v>
      </c>
      <c r="AK109" s="235">
        <v>0</v>
      </c>
      <c r="AL109" s="236">
        <f t="shared" ref="AL109:AL110" si="136">AJ109*AK109</f>
        <v>0</v>
      </c>
      <c r="AM109" s="463">
        <v>0</v>
      </c>
      <c r="AN109" s="226">
        <v>0</v>
      </c>
      <c r="AO109" s="226">
        <f t="shared" ref="AO109:AO110" si="137">AF109+AI109+AL109+AM109</f>
        <v>0</v>
      </c>
      <c r="AP109" s="233">
        <f t="shared" ref="AP109:AP110" si="138">IF(AV109=1,AB109,AO109)</f>
        <v>0</v>
      </c>
      <c r="AQ109" s="237">
        <f t="shared" ref="AQ109:AQ110" si="139">IF(AV109=1,0,AD109)</f>
        <v>0</v>
      </c>
      <c r="AR109" s="233">
        <f t="shared" ref="AR109:AR110" si="140">(Zůstatek/členovéstrop)*AQ109</f>
        <v>0</v>
      </c>
      <c r="AS109" s="238">
        <f t="shared" ref="AS109:AS110" si="141">AP109+AR109</f>
        <v>0</v>
      </c>
      <c r="AT109" s="430">
        <f t="shared" ref="AT109:AT110" si="142">ROUND(AS109,-2)</f>
        <v>0</v>
      </c>
      <c r="AU109" s="105" t="s">
        <v>364</v>
      </c>
      <c r="AV109" s="541"/>
    </row>
    <row r="110" spans="1:48" s="542" customFormat="1" ht="50.25" customHeight="1" x14ac:dyDescent="0.2">
      <c r="A110" s="653"/>
      <c r="B110" s="654"/>
      <c r="C110" s="603" t="s">
        <v>478</v>
      </c>
      <c r="D110" s="603"/>
      <c r="E110" s="560" t="s">
        <v>479</v>
      </c>
      <c r="F110" s="559" t="s">
        <v>479</v>
      </c>
      <c r="G110" s="557" t="s">
        <v>197</v>
      </c>
      <c r="H110" s="558">
        <v>10793917</v>
      </c>
      <c r="I110" s="558" t="s">
        <v>480</v>
      </c>
      <c r="J110" s="558" t="s">
        <v>481</v>
      </c>
      <c r="K110" s="558" t="s">
        <v>482</v>
      </c>
      <c r="L110" s="221">
        <v>0</v>
      </c>
      <c r="M110" s="256">
        <v>0</v>
      </c>
      <c r="N110" s="257"/>
      <c r="O110" s="258">
        <f t="shared" si="127"/>
        <v>0</v>
      </c>
      <c r="P110" s="224">
        <f t="shared" si="128"/>
        <v>0</v>
      </c>
      <c r="Q110" s="225"/>
      <c r="R110" s="226"/>
      <c r="S110" s="227"/>
      <c r="T110" s="228">
        <f t="shared" si="129"/>
        <v>0</v>
      </c>
      <c r="U110" s="225"/>
      <c r="V110" s="226"/>
      <c r="W110" s="227"/>
      <c r="X110" s="229">
        <f t="shared" si="130"/>
        <v>0</v>
      </c>
      <c r="Y110" s="226"/>
      <c r="Z110" s="224"/>
      <c r="AA110" s="230">
        <v>0</v>
      </c>
      <c r="AB110" s="229">
        <f t="shared" ref="AB110" si="143">AA110*koef</f>
        <v>0</v>
      </c>
      <c r="AC110" s="226"/>
      <c r="AD110" s="231">
        <f t="shared" si="131"/>
        <v>0</v>
      </c>
      <c r="AE110" s="232">
        <v>0</v>
      </c>
      <c r="AF110" s="233">
        <f t="shared" si="132"/>
        <v>0</v>
      </c>
      <c r="AG110" s="234">
        <f t="shared" si="133"/>
        <v>0</v>
      </c>
      <c r="AH110" s="234">
        <v>0</v>
      </c>
      <c r="AI110" s="233">
        <f t="shared" si="134"/>
        <v>0</v>
      </c>
      <c r="AJ110" s="232">
        <f>Y110</f>
        <v>0</v>
      </c>
      <c r="AK110" s="235">
        <v>0</v>
      </c>
      <c r="AL110" s="236">
        <f t="shared" si="136"/>
        <v>0</v>
      </c>
      <c r="AM110" s="463">
        <v>0</v>
      </c>
      <c r="AN110" s="226">
        <v>0</v>
      </c>
      <c r="AO110" s="226">
        <f t="shared" si="137"/>
        <v>0</v>
      </c>
      <c r="AP110" s="233">
        <f t="shared" si="138"/>
        <v>0</v>
      </c>
      <c r="AQ110" s="237">
        <f t="shared" si="139"/>
        <v>0</v>
      </c>
      <c r="AR110" s="233">
        <f t="shared" si="140"/>
        <v>0</v>
      </c>
      <c r="AS110" s="238">
        <f t="shared" si="141"/>
        <v>0</v>
      </c>
      <c r="AT110" s="430">
        <f t="shared" si="142"/>
        <v>0</v>
      </c>
      <c r="AU110" s="464" t="s">
        <v>479</v>
      </c>
      <c r="AV110" s="541"/>
    </row>
    <row r="111" spans="1:48" s="1" customFormat="1" ht="27.75" customHeight="1" x14ac:dyDescent="0.25">
      <c r="B111" s="350"/>
      <c r="C111" s="375"/>
      <c r="D111" s="350"/>
      <c r="E111" s="170"/>
      <c r="F111" s="170"/>
      <c r="G111" s="170"/>
      <c r="H111" s="170"/>
      <c r="I111" s="170"/>
      <c r="J111" s="170"/>
      <c r="K111" s="376"/>
      <c r="L111" s="377"/>
      <c r="M111" s="378"/>
      <c r="N111" s="35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379"/>
      <c r="AG111" s="170"/>
      <c r="AH111" s="170"/>
      <c r="AI111" s="170"/>
      <c r="AJ111" s="170"/>
      <c r="AK111" s="380"/>
      <c r="AL111" s="170"/>
      <c r="AM111" s="170"/>
      <c r="AN111" s="170"/>
      <c r="AO111" s="170"/>
      <c r="AP111" s="379"/>
      <c r="AQ111" s="381"/>
      <c r="AR111" s="379"/>
      <c r="AS111" s="170"/>
      <c r="AT111" s="170"/>
      <c r="AU111" s="449"/>
      <c r="AV111" s="20"/>
    </row>
    <row r="112" spans="1:48" ht="27" customHeight="1" thickBot="1" x14ac:dyDescent="0.3">
      <c r="E112" s="383"/>
      <c r="AB112" s="10"/>
      <c r="AC112" s="10"/>
      <c r="AT112" s="386"/>
    </row>
    <row r="113" spans="3:47" ht="27" customHeight="1" x14ac:dyDescent="0.25">
      <c r="D113" s="90" t="s">
        <v>174</v>
      </c>
      <c r="E113" s="395">
        <v>6000000</v>
      </c>
      <c r="F113" s="396" t="s">
        <v>27</v>
      </c>
      <c r="G113" s="397"/>
      <c r="H113" s="397"/>
      <c r="I113" s="397"/>
      <c r="J113" s="397"/>
      <c r="K113" s="397"/>
      <c r="L113" s="398"/>
      <c r="AB113" s="10"/>
      <c r="AC113" s="10"/>
      <c r="AT113" s="386"/>
    </row>
    <row r="114" spans="3:47" ht="27" customHeight="1" x14ac:dyDescent="0.25">
      <c r="D114" s="91" t="s">
        <v>175</v>
      </c>
      <c r="E114" s="24">
        <v>1300000</v>
      </c>
      <c r="F114" s="399" t="s">
        <v>34</v>
      </c>
      <c r="G114" s="397"/>
      <c r="H114" s="397"/>
      <c r="I114" s="397"/>
      <c r="J114" s="397"/>
      <c r="K114" s="397"/>
      <c r="L114" s="398"/>
      <c r="AB114" s="10"/>
      <c r="AC114" s="10"/>
      <c r="AT114" s="386"/>
    </row>
    <row r="115" spans="3:47" ht="43.5" customHeight="1" x14ac:dyDescent="0.25">
      <c r="D115" s="91" t="s">
        <v>176</v>
      </c>
      <c r="E115" s="24">
        <v>5700000</v>
      </c>
      <c r="F115" s="399" t="s">
        <v>140</v>
      </c>
      <c r="G115" s="397"/>
      <c r="H115" s="397"/>
      <c r="I115" s="398"/>
      <c r="J115" s="397"/>
      <c r="K115" s="397"/>
      <c r="L115" s="398"/>
      <c r="N115" s="13"/>
      <c r="O115" s="13"/>
      <c r="P115" s="13"/>
      <c r="Q115" s="16"/>
      <c r="AB115" s="10"/>
      <c r="AC115" s="10"/>
      <c r="AT115" s="386"/>
    </row>
    <row r="116" spans="3:47" ht="34.5" customHeight="1" thickBot="1" x14ac:dyDescent="0.3">
      <c r="C116" s="128"/>
      <c r="D116" s="92"/>
      <c r="E116" s="400">
        <f>SUM(E113:E115)</f>
        <v>13000000</v>
      </c>
      <c r="F116" s="401" t="s">
        <v>173</v>
      </c>
      <c r="G116" s="402"/>
      <c r="H116" s="402"/>
      <c r="I116" s="402"/>
      <c r="J116" s="402"/>
      <c r="K116" s="402"/>
      <c r="L116" s="403"/>
      <c r="N116" s="13"/>
      <c r="O116" s="252"/>
      <c r="P116" s="252"/>
      <c r="Q116" s="252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404"/>
      <c r="AF116" s="405"/>
      <c r="AG116" s="406"/>
      <c r="AH116" s="406"/>
      <c r="AI116" s="128"/>
      <c r="AJ116" s="404"/>
      <c r="AK116" s="407"/>
      <c r="AL116" s="128"/>
      <c r="AO116" s="128"/>
      <c r="AP116" s="405"/>
      <c r="AQ116" s="143"/>
      <c r="AR116" s="405"/>
      <c r="AS116" s="128"/>
      <c r="AT116" s="128"/>
    </row>
    <row r="117" spans="3:47" ht="29.25" customHeight="1" x14ac:dyDescent="0.25">
      <c r="C117" s="128"/>
      <c r="D117" s="408"/>
      <c r="E117" s="409"/>
      <c r="F117" s="410"/>
      <c r="G117" s="410"/>
      <c r="H117" s="410"/>
      <c r="I117" s="410"/>
      <c r="J117" s="410"/>
      <c r="K117" s="411"/>
      <c r="L117" s="409"/>
      <c r="N117" s="13"/>
      <c r="O117" s="589"/>
      <c r="P117" s="589"/>
      <c r="Q117" s="252"/>
      <c r="R117" s="412"/>
      <c r="S117" s="412"/>
      <c r="T117" s="412"/>
      <c r="U117" s="252"/>
      <c r="V117" s="413"/>
      <c r="W117" s="413"/>
      <c r="X117" s="252"/>
      <c r="Y117" s="128"/>
      <c r="Z117" s="128"/>
      <c r="AA117" s="128"/>
      <c r="AB117" s="128"/>
      <c r="AC117" s="128"/>
      <c r="AD117" s="128"/>
      <c r="AE117" s="404"/>
      <c r="AF117" s="405"/>
      <c r="AG117" s="406"/>
      <c r="AH117" s="406"/>
      <c r="AI117" s="128"/>
      <c r="AJ117" s="404"/>
      <c r="AK117" s="407"/>
      <c r="AL117" s="128"/>
      <c r="AO117" s="128"/>
      <c r="AP117" s="405"/>
      <c r="AQ117" s="143"/>
      <c r="AR117" s="405"/>
      <c r="AS117" s="128"/>
      <c r="AT117" s="128"/>
      <c r="AU117" s="439"/>
    </row>
    <row r="118" spans="3:47" x14ac:dyDescent="0.25">
      <c r="D118" s="94" t="s">
        <v>653</v>
      </c>
      <c r="E118" s="103" t="s">
        <v>654</v>
      </c>
      <c r="F118" s="22"/>
      <c r="G118" s="414"/>
      <c r="H118" s="415"/>
      <c r="I118" s="416"/>
      <c r="J118" s="417"/>
      <c r="K118" s="418"/>
    </row>
    <row r="119" spans="3:47" ht="30" customHeight="1" x14ac:dyDescent="0.25">
      <c r="D119" s="94" t="s">
        <v>134</v>
      </c>
      <c r="E119" s="27" t="s">
        <v>655</v>
      </c>
      <c r="F119" s="21"/>
      <c r="G119" s="8"/>
      <c r="H119" s="657" t="s">
        <v>668</v>
      </c>
      <c r="I119" s="658"/>
      <c r="J119" s="659"/>
      <c r="K119" s="128"/>
      <c r="L119" s="660" t="s">
        <v>686</v>
      </c>
      <c r="M119" s="661"/>
      <c r="N119" s="662"/>
      <c r="O119" s="128"/>
      <c r="P119" s="655" t="s">
        <v>652</v>
      </c>
      <c r="Q119" s="656"/>
    </row>
    <row r="120" spans="3:47" x14ac:dyDescent="0.25">
      <c r="D120" s="94" t="s">
        <v>135</v>
      </c>
      <c r="E120" s="103" t="s">
        <v>656</v>
      </c>
      <c r="F120" s="22"/>
      <c r="G120" s="418"/>
      <c r="H120" s="211" t="s">
        <v>174</v>
      </c>
      <c r="I120" s="420"/>
      <c r="J120" s="211" t="s">
        <v>667</v>
      </c>
      <c r="K120" s="421"/>
      <c r="L120" s="211" t="s">
        <v>174</v>
      </c>
      <c r="M120" s="287"/>
      <c r="N120" s="211" t="s">
        <v>667</v>
      </c>
      <c r="O120" s="422"/>
      <c r="P120" s="423" t="s">
        <v>174</v>
      </c>
      <c r="Q120" s="423" t="s">
        <v>667</v>
      </c>
    </row>
    <row r="121" spans="3:47" x14ac:dyDescent="0.25">
      <c r="D121" s="94" t="s">
        <v>136</v>
      </c>
      <c r="E121" s="27" t="s">
        <v>657</v>
      </c>
      <c r="F121" s="21"/>
      <c r="G121" s="13"/>
      <c r="H121" s="96">
        <f>SUM(H123:H127)</f>
        <v>6000000</v>
      </c>
      <c r="I121" s="15"/>
      <c r="J121" s="99">
        <f>J123+J124+J125+J126+J127</f>
        <v>1607142</v>
      </c>
      <c r="K121" s="14"/>
      <c r="L121" s="23">
        <f>SUM(L123:L127)</f>
        <v>5999800</v>
      </c>
      <c r="M121" s="25"/>
      <c r="N121" s="23">
        <f>SUM(N123:N127)</f>
        <v>1607000</v>
      </c>
      <c r="O121" s="26"/>
      <c r="P121" s="104" t="s">
        <v>669</v>
      </c>
      <c r="Q121" s="104" t="s">
        <v>672</v>
      </c>
    </row>
    <row r="122" spans="3:47" x14ac:dyDescent="0.25">
      <c r="D122" s="94" t="s">
        <v>658</v>
      </c>
      <c r="E122" s="103" t="s">
        <v>659</v>
      </c>
      <c r="F122" s="22"/>
      <c r="G122" s="13"/>
      <c r="H122" s="97"/>
      <c r="I122" s="13"/>
      <c r="J122" s="18"/>
      <c r="K122" s="16"/>
      <c r="L122" s="18"/>
      <c r="M122" s="17"/>
      <c r="N122" s="18"/>
      <c r="O122" s="17"/>
      <c r="P122" s="100"/>
      <c r="Q122" s="100"/>
    </row>
    <row r="123" spans="3:47" x14ac:dyDescent="0.25">
      <c r="D123" s="94" t="s">
        <v>137</v>
      </c>
      <c r="E123" s="103" t="s">
        <v>660</v>
      </c>
      <c r="F123" s="22"/>
      <c r="G123" s="13" t="s">
        <v>134</v>
      </c>
      <c r="H123" s="98">
        <f>AM91</f>
        <v>850000</v>
      </c>
      <c r="I123" s="15"/>
      <c r="J123" s="24">
        <f>AM104</f>
        <v>110000</v>
      </c>
      <c r="K123" s="14"/>
      <c r="L123" s="24">
        <f>H123</f>
        <v>850000</v>
      </c>
      <c r="M123" s="25"/>
      <c r="N123" s="24">
        <f>J123</f>
        <v>110000</v>
      </c>
      <c r="O123" s="26"/>
      <c r="P123" s="101"/>
      <c r="Q123" s="101"/>
    </row>
    <row r="124" spans="3:47" x14ac:dyDescent="0.25">
      <c r="E124" s="424"/>
      <c r="F124" s="22"/>
      <c r="G124" s="13" t="s">
        <v>135</v>
      </c>
      <c r="H124" s="98">
        <f>AS108</f>
        <v>414040</v>
      </c>
      <c r="I124" s="15"/>
      <c r="J124" s="24">
        <v>0</v>
      </c>
      <c r="K124" s="14"/>
      <c r="L124" s="24">
        <f>AT108</f>
        <v>414000</v>
      </c>
      <c r="M124" s="25"/>
      <c r="N124" s="24">
        <f>J124</f>
        <v>0</v>
      </c>
      <c r="O124" s="26"/>
      <c r="P124" s="102" t="s">
        <v>670</v>
      </c>
      <c r="Q124" s="101"/>
    </row>
    <row r="125" spans="3:47" x14ac:dyDescent="0.25">
      <c r="D125" s="425"/>
      <c r="E125" s="424"/>
      <c r="F125" s="22"/>
      <c r="G125" s="13" t="s">
        <v>136</v>
      </c>
      <c r="H125" s="98">
        <v>500000</v>
      </c>
      <c r="I125" s="15"/>
      <c r="J125" s="24">
        <v>158730</v>
      </c>
      <c r="K125" s="14"/>
      <c r="L125" s="24">
        <f>AI91</f>
        <v>500000</v>
      </c>
      <c r="M125" s="25"/>
      <c r="N125" s="24">
        <f>J125</f>
        <v>158730</v>
      </c>
      <c r="O125" s="26"/>
      <c r="P125" s="101"/>
      <c r="Q125" s="101"/>
    </row>
    <row r="126" spans="3:47" x14ac:dyDescent="0.25">
      <c r="D126" s="93" t="s">
        <v>174</v>
      </c>
      <c r="E126" s="426" t="s">
        <v>27</v>
      </c>
      <c r="F126" s="24">
        <v>6000000</v>
      </c>
      <c r="G126" s="13" t="s">
        <v>658</v>
      </c>
      <c r="H126" s="98">
        <v>500000</v>
      </c>
      <c r="I126" s="15"/>
      <c r="J126" s="24">
        <v>158730</v>
      </c>
      <c r="K126" s="14"/>
      <c r="L126" s="24">
        <f>AL91</f>
        <v>500000.00000000023</v>
      </c>
      <c r="M126" s="25"/>
      <c r="N126" s="24">
        <f>J126</f>
        <v>158730</v>
      </c>
      <c r="O126" s="26"/>
      <c r="P126" s="101"/>
      <c r="Q126" s="101"/>
    </row>
    <row r="127" spans="3:47" x14ac:dyDescent="0.25">
      <c r="D127" s="93" t="s">
        <v>175</v>
      </c>
      <c r="E127" s="426" t="s">
        <v>661</v>
      </c>
      <c r="F127" s="24">
        <v>1300000</v>
      </c>
      <c r="G127" s="13" t="s">
        <v>137</v>
      </c>
      <c r="H127" s="98">
        <f>E113-H123-H124-H125-H126</f>
        <v>3735960</v>
      </c>
      <c r="I127" s="15"/>
      <c r="J127" s="24">
        <v>1179682</v>
      </c>
      <c r="K127" s="14"/>
      <c r="L127" s="24">
        <f>AT91+AT108-L124-L123-L125-L126</f>
        <v>3735800</v>
      </c>
      <c r="M127" s="25"/>
      <c r="N127" s="24">
        <f>AT104-N123-N124-N125-N126</f>
        <v>1179540</v>
      </c>
      <c r="O127" s="26"/>
      <c r="P127" s="102" t="s">
        <v>671</v>
      </c>
      <c r="Q127" s="102" t="s">
        <v>672</v>
      </c>
    </row>
    <row r="128" spans="3:47" x14ac:dyDescent="0.25">
      <c r="D128" s="93" t="s">
        <v>176</v>
      </c>
      <c r="E128" s="426" t="s">
        <v>662</v>
      </c>
      <c r="F128" s="24">
        <f>J121</f>
        <v>1607142</v>
      </c>
      <c r="G128" s="8"/>
      <c r="H128" s="386"/>
      <c r="I128" s="8"/>
      <c r="J128" s="386"/>
      <c r="K128" s="386"/>
      <c r="L128" s="386"/>
      <c r="N128" s="386"/>
      <c r="O128" s="386"/>
      <c r="P128" s="386"/>
    </row>
    <row r="129" spans="4:16" x14ac:dyDescent="0.25">
      <c r="D129" s="93"/>
      <c r="E129" s="426" t="s">
        <v>663</v>
      </c>
      <c r="F129" s="24">
        <v>142</v>
      </c>
      <c r="J129" s="98" t="s">
        <v>666</v>
      </c>
      <c r="K129" s="8"/>
      <c r="L129" s="8"/>
      <c r="O129" s="386"/>
      <c r="P129" s="386"/>
    </row>
    <row r="130" spans="4:16" x14ac:dyDescent="0.25">
      <c r="D130" s="93" t="s">
        <v>176</v>
      </c>
      <c r="E130" s="426" t="s">
        <v>664</v>
      </c>
      <c r="F130" s="24">
        <f>E115-N121</f>
        <v>4093000</v>
      </c>
      <c r="J130" s="383"/>
      <c r="K130" s="8"/>
      <c r="L130" s="8"/>
      <c r="O130" s="386"/>
      <c r="P130" s="386"/>
    </row>
    <row r="131" spans="4:16" x14ac:dyDescent="0.25">
      <c r="J131" s="383"/>
      <c r="K131" s="8"/>
      <c r="L131" s="8"/>
      <c r="M131" s="8"/>
      <c r="O131" s="386"/>
      <c r="P131" s="386"/>
    </row>
  </sheetData>
  <mergeCells count="36">
    <mergeCell ref="A6:A107"/>
    <mergeCell ref="A109:B110"/>
    <mergeCell ref="P119:Q119"/>
    <mergeCell ref="H119:J119"/>
    <mergeCell ref="L119:N119"/>
    <mergeCell ref="AV2:AV4"/>
    <mergeCell ref="AA2:AB3"/>
    <mergeCell ref="AP2:AP4"/>
    <mergeCell ref="AJ2:AL3"/>
    <mergeCell ref="AN2:AN3"/>
    <mergeCell ref="AO2:AO4"/>
    <mergeCell ref="AG2:AI3"/>
    <mergeCell ref="AT2:AT4"/>
    <mergeCell ref="X2:Z3"/>
    <mergeCell ref="T3:W3"/>
    <mergeCell ref="AD2:AF3"/>
    <mergeCell ref="AS2:AS4"/>
    <mergeCell ref="AR2:AR3"/>
    <mergeCell ref="AQ2:AQ4"/>
    <mergeCell ref="AC2:AC3"/>
    <mergeCell ref="AM2:AM3"/>
    <mergeCell ref="O2:W2"/>
    <mergeCell ref="C3:C4"/>
    <mergeCell ref="P3:S3"/>
    <mergeCell ref="E3:E4"/>
    <mergeCell ref="C2:M2"/>
    <mergeCell ref="O117:P117"/>
    <mergeCell ref="C106:C107"/>
    <mergeCell ref="C93:C103"/>
    <mergeCell ref="C86:C90"/>
    <mergeCell ref="D3:D4"/>
    <mergeCell ref="C6:C79"/>
    <mergeCell ref="C80:C85"/>
    <mergeCell ref="N3:N4"/>
    <mergeCell ref="C110:D110"/>
    <mergeCell ref="C109:D109"/>
  </mergeCells>
  <pageMargins left="0.7" right="0.7" top="0.78740157499999996" bottom="0.78740157499999996" header="0.3" footer="0.3"/>
  <pageSetup paperSize="8" scale="37" orientation="landscape" r:id="rId1"/>
  <ignoredErrors>
    <ignoredError sqref="H96 H6 H8 H12 H10 H37 H39 H51 H59:H60 H70 H82:H83 H85 H100 H106 H44 P121:Q1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topLeftCell="A25" workbookViewId="0">
      <selection activeCell="R9" sqref="R9"/>
    </sheetView>
  </sheetViews>
  <sheetFormatPr defaultRowHeight="12.75" x14ac:dyDescent="0.2"/>
  <cols>
    <col min="2" max="2" width="4.28515625" style="106" customWidth="1"/>
    <col min="3" max="3" width="13.140625" style="30" customWidth="1"/>
    <col min="4" max="4" width="27.85546875" style="30" customWidth="1"/>
    <col min="5" max="5" width="22.85546875" style="30" customWidth="1"/>
    <col min="6" max="6" width="12.140625" style="30" customWidth="1"/>
    <col min="7" max="7" width="13.7109375" style="30" customWidth="1"/>
    <col min="8" max="8" width="26.140625" style="30" customWidth="1"/>
    <col min="9" max="9" width="12.7109375" style="106" customWidth="1"/>
    <col min="10" max="10" width="13.42578125" style="106" customWidth="1"/>
    <col min="11" max="11" width="15.28515625" style="573" customWidth="1"/>
    <col min="12" max="13" width="14.85546875" style="30" customWidth="1"/>
    <col min="14" max="14" width="12.85546875" style="29" customWidth="1"/>
    <col min="15" max="15" width="11.5703125" bestFit="1" customWidth="1"/>
  </cols>
  <sheetData>
    <row r="1" spans="1:14" ht="10.15" customHeight="1" thickBot="1" x14ac:dyDescent="0.25">
      <c r="B1" s="497"/>
      <c r="C1" s="498"/>
      <c r="D1" s="498"/>
      <c r="E1" s="498"/>
      <c r="F1" s="498"/>
      <c r="G1" s="498"/>
      <c r="H1" s="498"/>
      <c r="I1" s="499"/>
      <c r="J1" s="499"/>
      <c r="K1" s="572"/>
      <c r="L1" s="498"/>
      <c r="M1" s="498"/>
      <c r="N1" s="500"/>
    </row>
    <row r="2" spans="1:14" ht="18.75" customHeight="1" thickBot="1" x14ac:dyDescent="0.25">
      <c r="C2" s="663" t="s">
        <v>692</v>
      </c>
      <c r="D2" s="664"/>
      <c r="E2" s="665"/>
      <c r="F2" s="107"/>
      <c r="G2" s="107"/>
      <c r="H2" s="107"/>
    </row>
    <row r="3" spans="1:14" s="6" customFormat="1" ht="26.45" customHeight="1" x14ac:dyDescent="0.2">
      <c r="B3" s="108"/>
      <c r="C3" s="678" t="s">
        <v>177</v>
      </c>
      <c r="D3" s="681" t="s">
        <v>178</v>
      </c>
      <c r="E3" s="681" t="s">
        <v>179</v>
      </c>
      <c r="F3" s="681" t="s">
        <v>180</v>
      </c>
      <c r="G3" s="681" t="s">
        <v>181</v>
      </c>
      <c r="H3" s="681" t="s">
        <v>182</v>
      </c>
      <c r="I3" s="681" t="s">
        <v>185</v>
      </c>
      <c r="J3" s="681" t="s">
        <v>186</v>
      </c>
      <c r="K3" s="669" t="s">
        <v>628</v>
      </c>
      <c r="L3" s="672" t="s">
        <v>35</v>
      </c>
      <c r="M3" s="675" t="s">
        <v>36</v>
      </c>
      <c r="N3" s="689" t="s">
        <v>794</v>
      </c>
    </row>
    <row r="4" spans="1:14" s="6" customFormat="1" ht="21.75" customHeight="1" x14ac:dyDescent="0.2">
      <c r="B4" s="108"/>
      <c r="C4" s="679"/>
      <c r="D4" s="682"/>
      <c r="E4" s="682"/>
      <c r="F4" s="682"/>
      <c r="G4" s="682"/>
      <c r="H4" s="682"/>
      <c r="I4" s="682"/>
      <c r="J4" s="682"/>
      <c r="K4" s="670"/>
      <c r="L4" s="673"/>
      <c r="M4" s="676"/>
      <c r="N4" s="690"/>
    </row>
    <row r="5" spans="1:14" s="6" customFormat="1" ht="36" customHeight="1" thickBot="1" x14ac:dyDescent="0.25">
      <c r="B5" s="108"/>
      <c r="C5" s="680"/>
      <c r="D5" s="683"/>
      <c r="E5" s="683"/>
      <c r="F5" s="683"/>
      <c r="G5" s="683"/>
      <c r="H5" s="683"/>
      <c r="I5" s="683"/>
      <c r="J5" s="683"/>
      <c r="K5" s="671"/>
      <c r="L5" s="674"/>
      <c r="M5" s="677"/>
      <c r="N5" s="691"/>
    </row>
    <row r="6" spans="1:14" s="6" customFormat="1" ht="40.5" customHeight="1" x14ac:dyDescent="0.2">
      <c r="A6" s="684" t="s">
        <v>826</v>
      </c>
      <c r="B6" s="109">
        <v>1</v>
      </c>
      <c r="C6" s="564" t="s">
        <v>187</v>
      </c>
      <c r="D6" s="565" t="s">
        <v>188</v>
      </c>
      <c r="E6" s="566" t="s">
        <v>37</v>
      </c>
      <c r="F6" s="567" t="s">
        <v>189</v>
      </c>
      <c r="G6" s="567">
        <v>47810971</v>
      </c>
      <c r="H6" s="567" t="s">
        <v>190</v>
      </c>
      <c r="I6" s="568">
        <v>50000</v>
      </c>
      <c r="J6" s="569">
        <v>100000</v>
      </c>
      <c r="K6" s="574" t="s">
        <v>796</v>
      </c>
      <c r="L6" s="570">
        <v>50</v>
      </c>
      <c r="M6" s="571">
        <v>50</v>
      </c>
      <c r="N6" s="568">
        <v>50000</v>
      </c>
    </row>
    <row r="7" spans="1:14" s="6" customFormat="1" ht="35.25" customHeight="1" x14ac:dyDescent="0.2">
      <c r="A7" s="685"/>
      <c r="B7" s="109">
        <v>2</v>
      </c>
      <c r="C7" s="110" t="s">
        <v>193</v>
      </c>
      <c r="D7" s="111" t="s">
        <v>194</v>
      </c>
      <c r="E7" s="112" t="s">
        <v>37</v>
      </c>
      <c r="F7" s="113" t="s">
        <v>189</v>
      </c>
      <c r="G7" s="113">
        <v>47810971</v>
      </c>
      <c r="H7" s="113" t="s">
        <v>190</v>
      </c>
      <c r="I7" s="114">
        <v>27000</v>
      </c>
      <c r="J7" s="115">
        <v>54000</v>
      </c>
      <c r="K7" s="575" t="s">
        <v>795</v>
      </c>
      <c r="L7" s="510">
        <v>50</v>
      </c>
      <c r="M7" s="510">
        <v>50</v>
      </c>
      <c r="N7" s="114">
        <v>27000</v>
      </c>
    </row>
    <row r="8" spans="1:14" s="11" customFormat="1" ht="27" customHeight="1" x14ac:dyDescent="0.2">
      <c r="A8" s="685"/>
      <c r="B8" s="109">
        <v>3</v>
      </c>
      <c r="C8" s="110" t="s">
        <v>195</v>
      </c>
      <c r="D8" s="111" t="s">
        <v>196</v>
      </c>
      <c r="E8" s="112" t="s">
        <v>80</v>
      </c>
      <c r="F8" s="113" t="s">
        <v>197</v>
      </c>
      <c r="G8" s="113">
        <v>22725491</v>
      </c>
      <c r="H8" s="113" t="s">
        <v>198</v>
      </c>
      <c r="I8" s="114">
        <v>29000</v>
      </c>
      <c r="J8" s="115">
        <v>58000</v>
      </c>
      <c r="K8" s="575" t="s">
        <v>797</v>
      </c>
      <c r="L8" s="510">
        <v>50</v>
      </c>
      <c r="M8" s="510">
        <v>50</v>
      </c>
      <c r="N8" s="114">
        <v>29000</v>
      </c>
    </row>
    <row r="9" spans="1:14" s="11" customFormat="1" ht="27" customHeight="1" x14ac:dyDescent="0.2">
      <c r="A9" s="685"/>
      <c r="B9" s="109">
        <v>4</v>
      </c>
      <c r="C9" s="110" t="s">
        <v>201</v>
      </c>
      <c r="D9" s="111" t="s">
        <v>202</v>
      </c>
      <c r="E9" s="112" t="s">
        <v>80</v>
      </c>
      <c r="F9" s="113" t="s">
        <v>197</v>
      </c>
      <c r="G9" s="113">
        <v>22725491</v>
      </c>
      <c r="H9" s="113" t="s">
        <v>198</v>
      </c>
      <c r="I9" s="114">
        <v>29000</v>
      </c>
      <c r="J9" s="115">
        <v>58000</v>
      </c>
      <c r="K9" s="575" t="s">
        <v>798</v>
      </c>
      <c r="L9" s="510">
        <v>50</v>
      </c>
      <c r="M9" s="510">
        <v>50</v>
      </c>
      <c r="N9" s="114">
        <v>29000</v>
      </c>
    </row>
    <row r="10" spans="1:14" s="11" customFormat="1" ht="27" customHeight="1" x14ac:dyDescent="0.2">
      <c r="A10" s="685"/>
      <c r="B10" s="109">
        <v>5</v>
      </c>
      <c r="C10" s="110" t="s">
        <v>203</v>
      </c>
      <c r="D10" s="111" t="s">
        <v>40</v>
      </c>
      <c r="E10" s="112" t="s">
        <v>204</v>
      </c>
      <c r="F10" s="113" t="s">
        <v>197</v>
      </c>
      <c r="G10" s="113" t="s">
        <v>38</v>
      </c>
      <c r="H10" s="113" t="s">
        <v>205</v>
      </c>
      <c r="I10" s="114">
        <v>60000</v>
      </c>
      <c r="J10" s="115">
        <v>350000</v>
      </c>
      <c r="K10" s="575" t="s">
        <v>799</v>
      </c>
      <c r="L10" s="510">
        <v>50</v>
      </c>
      <c r="M10" s="510">
        <v>50</v>
      </c>
      <c r="N10" s="114">
        <v>60000</v>
      </c>
    </row>
    <row r="11" spans="1:14" s="11" customFormat="1" ht="27" customHeight="1" x14ac:dyDescent="0.2">
      <c r="A11" s="685"/>
      <c r="B11" s="109">
        <v>6</v>
      </c>
      <c r="C11" s="110" t="s">
        <v>208</v>
      </c>
      <c r="D11" s="111" t="s">
        <v>39</v>
      </c>
      <c r="E11" s="112" t="s">
        <v>204</v>
      </c>
      <c r="F11" s="113" t="s">
        <v>197</v>
      </c>
      <c r="G11" s="113" t="s">
        <v>38</v>
      </c>
      <c r="H11" s="113" t="s">
        <v>205</v>
      </c>
      <c r="I11" s="114">
        <v>40000</v>
      </c>
      <c r="J11" s="115">
        <v>160000</v>
      </c>
      <c r="K11" s="575" t="s">
        <v>800</v>
      </c>
      <c r="L11" s="510">
        <v>50</v>
      </c>
      <c r="M11" s="510">
        <v>50</v>
      </c>
      <c r="N11" s="114">
        <v>40000</v>
      </c>
    </row>
    <row r="12" spans="1:14" s="11" customFormat="1" ht="27" customHeight="1" x14ac:dyDescent="0.2">
      <c r="A12" s="685"/>
      <c r="B12" s="109">
        <v>7</v>
      </c>
      <c r="C12" s="110" t="s">
        <v>209</v>
      </c>
      <c r="D12" s="111" t="s">
        <v>210</v>
      </c>
      <c r="E12" s="112" t="s">
        <v>108</v>
      </c>
      <c r="F12" s="113" t="s">
        <v>197</v>
      </c>
      <c r="G12" s="113">
        <v>13643444</v>
      </c>
      <c r="H12" s="113" t="s">
        <v>211</v>
      </c>
      <c r="I12" s="114">
        <v>60000</v>
      </c>
      <c r="J12" s="115">
        <v>145000</v>
      </c>
      <c r="K12" s="575" t="s">
        <v>801</v>
      </c>
      <c r="L12" s="510">
        <v>50</v>
      </c>
      <c r="M12" s="510">
        <v>50</v>
      </c>
      <c r="N12" s="114">
        <v>60000</v>
      </c>
    </row>
    <row r="13" spans="1:14" s="11" customFormat="1" ht="27" customHeight="1" x14ac:dyDescent="0.2">
      <c r="A13" s="685"/>
      <c r="B13" s="109">
        <v>8</v>
      </c>
      <c r="C13" s="110" t="s">
        <v>214</v>
      </c>
      <c r="D13" s="111" t="s">
        <v>215</v>
      </c>
      <c r="E13" s="112" t="s">
        <v>108</v>
      </c>
      <c r="F13" s="113" t="s">
        <v>197</v>
      </c>
      <c r="G13" s="113">
        <v>13643444</v>
      </c>
      <c r="H13" s="113" t="s">
        <v>211</v>
      </c>
      <c r="I13" s="114">
        <v>60000</v>
      </c>
      <c r="J13" s="115">
        <v>155000</v>
      </c>
      <c r="K13" s="575" t="s">
        <v>802</v>
      </c>
      <c r="L13" s="510">
        <v>50</v>
      </c>
      <c r="M13" s="510">
        <v>50</v>
      </c>
      <c r="N13" s="114">
        <v>60000</v>
      </c>
    </row>
    <row r="14" spans="1:14" s="11" customFormat="1" ht="27" customHeight="1" x14ac:dyDescent="0.2">
      <c r="A14" s="685"/>
      <c r="B14" s="109">
        <v>9</v>
      </c>
      <c r="C14" s="110" t="s">
        <v>216</v>
      </c>
      <c r="D14" s="111" t="s">
        <v>217</v>
      </c>
      <c r="E14" s="112" t="s">
        <v>218</v>
      </c>
      <c r="F14" s="113" t="s">
        <v>197</v>
      </c>
      <c r="G14" s="113">
        <v>26656132</v>
      </c>
      <c r="H14" s="113" t="s">
        <v>219</v>
      </c>
      <c r="I14" s="114">
        <v>60000</v>
      </c>
      <c r="J14" s="115">
        <v>120000</v>
      </c>
      <c r="K14" s="575" t="s">
        <v>803</v>
      </c>
      <c r="L14" s="510">
        <v>50</v>
      </c>
      <c r="M14" s="510">
        <v>50</v>
      </c>
      <c r="N14" s="114">
        <v>60000</v>
      </c>
    </row>
    <row r="15" spans="1:14" s="11" customFormat="1" ht="27" customHeight="1" x14ac:dyDescent="0.2">
      <c r="A15" s="685"/>
      <c r="B15" s="109">
        <v>12</v>
      </c>
      <c r="C15" s="110" t="s">
        <v>230</v>
      </c>
      <c r="D15" s="111" t="s">
        <v>231</v>
      </c>
      <c r="E15" s="112" t="s">
        <v>232</v>
      </c>
      <c r="F15" s="113" t="s">
        <v>197</v>
      </c>
      <c r="G15" s="113" t="s">
        <v>131</v>
      </c>
      <c r="H15" s="113" t="s">
        <v>233</v>
      </c>
      <c r="I15" s="114">
        <v>60000</v>
      </c>
      <c r="J15" s="115">
        <v>131000</v>
      </c>
      <c r="K15" s="575" t="s">
        <v>804</v>
      </c>
      <c r="L15" s="510">
        <v>50</v>
      </c>
      <c r="M15" s="510">
        <v>50</v>
      </c>
      <c r="N15" s="114">
        <v>60000</v>
      </c>
    </row>
    <row r="16" spans="1:14" s="11" customFormat="1" ht="27" customHeight="1" x14ac:dyDescent="0.2">
      <c r="A16" s="685"/>
      <c r="B16" s="109">
        <v>13</v>
      </c>
      <c r="C16" s="110" t="s">
        <v>236</v>
      </c>
      <c r="D16" s="111" t="s">
        <v>237</v>
      </c>
      <c r="E16" s="112" t="s">
        <v>232</v>
      </c>
      <c r="F16" s="113" t="s">
        <v>197</v>
      </c>
      <c r="G16" s="113" t="s">
        <v>131</v>
      </c>
      <c r="H16" s="113" t="s">
        <v>233</v>
      </c>
      <c r="I16" s="114">
        <v>60000</v>
      </c>
      <c r="J16" s="115">
        <v>131000</v>
      </c>
      <c r="K16" s="575" t="s">
        <v>805</v>
      </c>
      <c r="L16" s="510">
        <v>50</v>
      </c>
      <c r="M16" s="510">
        <v>50</v>
      </c>
      <c r="N16" s="114">
        <v>60000</v>
      </c>
    </row>
    <row r="17" spans="1:15" s="11" customFormat="1" ht="27" customHeight="1" x14ac:dyDescent="0.2">
      <c r="A17" s="685"/>
      <c r="B17" s="109">
        <v>14</v>
      </c>
      <c r="C17" s="110" t="s">
        <v>238</v>
      </c>
      <c r="D17" s="111" t="s">
        <v>239</v>
      </c>
      <c r="E17" s="112" t="s">
        <v>69</v>
      </c>
      <c r="F17" s="113" t="s">
        <v>197</v>
      </c>
      <c r="G17" s="113" t="s">
        <v>68</v>
      </c>
      <c r="H17" s="113" t="s">
        <v>240</v>
      </c>
      <c r="I17" s="114">
        <v>50000</v>
      </c>
      <c r="J17" s="115">
        <v>110000</v>
      </c>
      <c r="K17" s="575" t="s">
        <v>806</v>
      </c>
      <c r="L17" s="510">
        <v>50</v>
      </c>
      <c r="M17" s="510">
        <v>50</v>
      </c>
      <c r="N17" s="114">
        <v>50000</v>
      </c>
    </row>
    <row r="18" spans="1:15" s="11" customFormat="1" ht="27" customHeight="1" x14ac:dyDescent="0.2">
      <c r="A18" s="685"/>
      <c r="B18" s="109">
        <v>15</v>
      </c>
      <c r="C18" s="110" t="s">
        <v>243</v>
      </c>
      <c r="D18" s="111" t="s">
        <v>244</v>
      </c>
      <c r="E18" s="112" t="s">
        <v>245</v>
      </c>
      <c r="F18" s="113" t="s">
        <v>197</v>
      </c>
      <c r="G18" s="113">
        <v>26578981</v>
      </c>
      <c r="H18" s="113" t="s">
        <v>246</v>
      </c>
      <c r="I18" s="114">
        <v>20000</v>
      </c>
      <c r="J18" s="115">
        <v>53000</v>
      </c>
      <c r="K18" s="575" t="s">
        <v>807</v>
      </c>
      <c r="L18" s="510">
        <v>50</v>
      </c>
      <c r="M18" s="510">
        <v>50</v>
      </c>
      <c r="N18" s="114">
        <v>20000</v>
      </c>
    </row>
    <row r="19" spans="1:15" s="11" customFormat="1" ht="27" customHeight="1" x14ac:dyDescent="0.2">
      <c r="A19" s="685"/>
      <c r="B19" s="109">
        <v>16</v>
      </c>
      <c r="C19" s="110" t="s">
        <v>247</v>
      </c>
      <c r="D19" s="111" t="s">
        <v>248</v>
      </c>
      <c r="E19" s="112" t="s">
        <v>249</v>
      </c>
      <c r="F19" s="113" t="s">
        <v>189</v>
      </c>
      <c r="G19" s="113">
        <v>22880488</v>
      </c>
      <c r="H19" s="113" t="s">
        <v>250</v>
      </c>
      <c r="I19" s="114">
        <v>50000</v>
      </c>
      <c r="J19" s="115">
        <v>110000</v>
      </c>
      <c r="K19" s="575" t="s">
        <v>808</v>
      </c>
      <c r="L19" s="510">
        <v>50</v>
      </c>
      <c r="M19" s="510">
        <v>50</v>
      </c>
      <c r="N19" s="114">
        <v>50000</v>
      </c>
    </row>
    <row r="20" spans="1:15" s="11" customFormat="1" ht="27" customHeight="1" x14ac:dyDescent="0.2">
      <c r="A20" s="685"/>
      <c r="B20" s="109">
        <v>17</v>
      </c>
      <c r="C20" s="110" t="s">
        <v>251</v>
      </c>
      <c r="D20" s="111" t="s">
        <v>252</v>
      </c>
      <c r="E20" s="112" t="s">
        <v>67</v>
      </c>
      <c r="F20" s="113" t="s">
        <v>197</v>
      </c>
      <c r="G20" s="113">
        <v>47812061</v>
      </c>
      <c r="H20" s="113" t="s">
        <v>253</v>
      </c>
      <c r="I20" s="114">
        <v>20000</v>
      </c>
      <c r="J20" s="115">
        <v>41000</v>
      </c>
      <c r="K20" s="575" t="s">
        <v>809</v>
      </c>
      <c r="L20" s="510">
        <v>50</v>
      </c>
      <c r="M20" s="510">
        <v>50</v>
      </c>
      <c r="N20" s="114">
        <v>20000</v>
      </c>
    </row>
    <row r="21" spans="1:15" s="11" customFormat="1" ht="27" customHeight="1" x14ac:dyDescent="0.2">
      <c r="A21" s="685"/>
      <c r="B21" s="109">
        <v>18</v>
      </c>
      <c r="C21" s="110" t="s">
        <v>254</v>
      </c>
      <c r="D21" s="111" t="s">
        <v>75</v>
      </c>
      <c r="E21" s="112" t="s">
        <v>74</v>
      </c>
      <c r="F21" s="113" t="s">
        <v>197</v>
      </c>
      <c r="G21" s="113">
        <v>22687378</v>
      </c>
      <c r="H21" s="113" t="s">
        <v>255</v>
      </c>
      <c r="I21" s="114">
        <v>50000</v>
      </c>
      <c r="J21" s="115">
        <v>110000</v>
      </c>
      <c r="K21" s="575" t="s">
        <v>810</v>
      </c>
      <c r="L21" s="510">
        <v>50</v>
      </c>
      <c r="M21" s="510">
        <v>50</v>
      </c>
      <c r="N21" s="114">
        <v>50000</v>
      </c>
    </row>
    <row r="22" spans="1:15" s="11" customFormat="1" ht="27" customHeight="1" x14ac:dyDescent="0.2">
      <c r="A22" s="685"/>
      <c r="B22" s="109">
        <v>19</v>
      </c>
      <c r="C22" s="110" t="s">
        <v>256</v>
      </c>
      <c r="D22" s="111" t="s">
        <v>257</v>
      </c>
      <c r="E22" s="112" t="s">
        <v>258</v>
      </c>
      <c r="F22" s="113" t="s">
        <v>197</v>
      </c>
      <c r="G22" s="113">
        <v>26600871</v>
      </c>
      <c r="H22" s="113" t="s">
        <v>259</v>
      </c>
      <c r="I22" s="114">
        <v>20000</v>
      </c>
      <c r="J22" s="115">
        <v>40000</v>
      </c>
      <c r="K22" s="575" t="s">
        <v>811</v>
      </c>
      <c r="L22" s="510">
        <v>50</v>
      </c>
      <c r="M22" s="510">
        <v>50</v>
      </c>
      <c r="N22" s="114">
        <v>20000</v>
      </c>
    </row>
    <row r="23" spans="1:15" s="11" customFormat="1" ht="27" customHeight="1" x14ac:dyDescent="0.2">
      <c r="A23" s="685"/>
      <c r="B23" s="109">
        <v>20</v>
      </c>
      <c r="C23" s="110" t="s">
        <v>260</v>
      </c>
      <c r="D23" s="111" t="s">
        <v>129</v>
      </c>
      <c r="E23" s="112" t="s">
        <v>261</v>
      </c>
      <c r="F23" s="113" t="s">
        <v>197</v>
      </c>
      <c r="G23" s="113">
        <v>68941919</v>
      </c>
      <c r="H23" s="113" t="s">
        <v>262</v>
      </c>
      <c r="I23" s="114">
        <v>60000</v>
      </c>
      <c r="J23" s="115">
        <v>230000</v>
      </c>
      <c r="K23" s="575" t="s">
        <v>812</v>
      </c>
      <c r="L23" s="510">
        <v>50</v>
      </c>
      <c r="M23" s="510">
        <v>50</v>
      </c>
      <c r="N23" s="114">
        <v>60000</v>
      </c>
    </row>
    <row r="24" spans="1:15" ht="27" customHeight="1" x14ac:dyDescent="0.2">
      <c r="A24" s="685"/>
      <c r="B24" s="109">
        <v>21</v>
      </c>
      <c r="C24" s="110" t="s">
        <v>263</v>
      </c>
      <c r="D24" s="111" t="s">
        <v>128</v>
      </c>
      <c r="E24" s="112" t="s">
        <v>261</v>
      </c>
      <c r="F24" s="113" t="s">
        <v>197</v>
      </c>
      <c r="G24" s="113">
        <v>68941919</v>
      </c>
      <c r="H24" s="113" t="s">
        <v>262</v>
      </c>
      <c r="I24" s="114">
        <v>60000</v>
      </c>
      <c r="J24" s="115">
        <v>135000</v>
      </c>
      <c r="K24" s="575" t="s">
        <v>813</v>
      </c>
      <c r="L24" s="510">
        <v>50</v>
      </c>
      <c r="M24" s="510">
        <v>50</v>
      </c>
      <c r="N24" s="114">
        <v>60000</v>
      </c>
      <c r="O24" s="11"/>
    </row>
    <row r="25" spans="1:15" ht="51" customHeight="1" x14ac:dyDescent="0.2">
      <c r="A25" s="685"/>
      <c r="B25" s="109">
        <v>22</v>
      </c>
      <c r="C25" s="110" t="s">
        <v>264</v>
      </c>
      <c r="D25" s="111" t="s">
        <v>265</v>
      </c>
      <c r="E25" s="112" t="s">
        <v>101</v>
      </c>
      <c r="F25" s="113" t="s">
        <v>197</v>
      </c>
      <c r="G25" s="113">
        <v>47810025</v>
      </c>
      <c r="H25" s="113" t="s">
        <v>266</v>
      </c>
      <c r="I25" s="114">
        <v>35000</v>
      </c>
      <c r="J25" s="115">
        <v>180000</v>
      </c>
      <c r="K25" s="575" t="s">
        <v>814</v>
      </c>
      <c r="L25" s="510">
        <v>50</v>
      </c>
      <c r="M25" s="510">
        <v>50</v>
      </c>
      <c r="N25" s="114">
        <v>35000</v>
      </c>
      <c r="O25" s="11"/>
    </row>
    <row r="26" spans="1:15" ht="27" customHeight="1" x14ac:dyDescent="0.2">
      <c r="A26" s="685"/>
      <c r="B26" s="109">
        <v>23</v>
      </c>
      <c r="C26" s="110" t="s">
        <v>267</v>
      </c>
      <c r="D26" s="111" t="s">
        <v>268</v>
      </c>
      <c r="E26" s="112" t="s">
        <v>55</v>
      </c>
      <c r="F26" s="113" t="s">
        <v>197</v>
      </c>
      <c r="G26" s="113" t="s">
        <v>54</v>
      </c>
      <c r="H26" s="113" t="s">
        <v>269</v>
      </c>
      <c r="I26" s="114">
        <v>60000</v>
      </c>
      <c r="J26" s="115">
        <v>310000</v>
      </c>
      <c r="K26" s="575" t="s">
        <v>815</v>
      </c>
      <c r="L26" s="510">
        <v>50</v>
      </c>
      <c r="M26" s="510">
        <v>50</v>
      </c>
      <c r="N26" s="114">
        <v>60000</v>
      </c>
      <c r="O26" s="11"/>
    </row>
    <row r="27" spans="1:15" ht="27" customHeight="1" x14ac:dyDescent="0.2">
      <c r="A27" s="685"/>
      <c r="B27" s="109">
        <v>24</v>
      </c>
      <c r="C27" s="110" t="s">
        <v>270</v>
      </c>
      <c r="D27" s="111" t="s">
        <v>271</v>
      </c>
      <c r="E27" s="112" t="s">
        <v>55</v>
      </c>
      <c r="F27" s="113" t="s">
        <v>197</v>
      </c>
      <c r="G27" s="113" t="s">
        <v>54</v>
      </c>
      <c r="H27" s="113" t="s">
        <v>269</v>
      </c>
      <c r="I27" s="114">
        <v>30000</v>
      </c>
      <c r="J27" s="115">
        <v>64000</v>
      </c>
      <c r="K27" s="575" t="s">
        <v>816</v>
      </c>
      <c r="L27" s="510">
        <v>50</v>
      </c>
      <c r="M27" s="510">
        <v>50</v>
      </c>
      <c r="N27" s="114">
        <v>30000</v>
      </c>
      <c r="O27" s="11"/>
    </row>
    <row r="28" spans="1:15" ht="27" customHeight="1" x14ac:dyDescent="0.2">
      <c r="A28" s="685"/>
      <c r="B28" s="109">
        <v>25</v>
      </c>
      <c r="C28" s="110" t="s">
        <v>272</v>
      </c>
      <c r="D28" s="111" t="s">
        <v>273</v>
      </c>
      <c r="E28" s="112" t="s">
        <v>84</v>
      </c>
      <c r="F28" s="113" t="s">
        <v>197</v>
      </c>
      <c r="G28" s="113">
        <v>68941455</v>
      </c>
      <c r="H28" s="113" t="s">
        <v>274</v>
      </c>
      <c r="I28" s="114">
        <v>50000</v>
      </c>
      <c r="J28" s="115">
        <v>160000</v>
      </c>
      <c r="K28" s="575" t="s">
        <v>817</v>
      </c>
      <c r="L28" s="510">
        <v>50</v>
      </c>
      <c r="M28" s="510">
        <v>50</v>
      </c>
      <c r="N28" s="114">
        <v>50000</v>
      </c>
      <c r="O28" s="11"/>
    </row>
    <row r="29" spans="1:15" ht="27" customHeight="1" x14ac:dyDescent="0.2">
      <c r="A29" s="685"/>
      <c r="B29" s="109">
        <v>26</v>
      </c>
      <c r="C29" s="110" t="s">
        <v>275</v>
      </c>
      <c r="D29" s="111" t="s">
        <v>276</v>
      </c>
      <c r="E29" s="112" t="s">
        <v>86</v>
      </c>
      <c r="F29" s="113" t="s">
        <v>197</v>
      </c>
      <c r="G29" s="113">
        <v>47814381</v>
      </c>
      <c r="H29" s="113" t="s">
        <v>277</v>
      </c>
      <c r="I29" s="114">
        <v>60000</v>
      </c>
      <c r="J29" s="115">
        <v>270000</v>
      </c>
      <c r="K29" s="575" t="s">
        <v>818</v>
      </c>
      <c r="L29" s="510">
        <v>50</v>
      </c>
      <c r="M29" s="510">
        <v>50</v>
      </c>
      <c r="N29" s="114">
        <v>60000</v>
      </c>
      <c r="O29" s="11"/>
    </row>
    <row r="30" spans="1:15" ht="27" customHeight="1" x14ac:dyDescent="0.2">
      <c r="A30" s="685"/>
      <c r="B30" s="109">
        <v>27</v>
      </c>
      <c r="C30" s="110" t="s">
        <v>278</v>
      </c>
      <c r="D30" s="111" t="s">
        <v>279</v>
      </c>
      <c r="E30" s="112" t="s">
        <v>50</v>
      </c>
      <c r="F30" s="113" t="s">
        <v>197</v>
      </c>
      <c r="G30" s="113">
        <v>22718214</v>
      </c>
      <c r="H30" s="113" t="s">
        <v>280</v>
      </c>
      <c r="I30" s="114">
        <v>10000</v>
      </c>
      <c r="J30" s="115">
        <v>20000</v>
      </c>
      <c r="K30" s="575" t="s">
        <v>819</v>
      </c>
      <c r="L30" s="510">
        <v>50</v>
      </c>
      <c r="M30" s="510">
        <v>50</v>
      </c>
      <c r="N30" s="114">
        <v>10000</v>
      </c>
      <c r="O30" s="11"/>
    </row>
    <row r="31" spans="1:15" ht="27" customHeight="1" x14ac:dyDescent="0.2">
      <c r="A31" s="685"/>
      <c r="B31" s="109">
        <v>28</v>
      </c>
      <c r="C31" s="110" t="s">
        <v>283</v>
      </c>
      <c r="D31" s="111" t="s">
        <v>284</v>
      </c>
      <c r="E31" s="112" t="s">
        <v>115</v>
      </c>
      <c r="F31" s="113" t="s">
        <v>197</v>
      </c>
      <c r="G31" s="113">
        <v>14616190</v>
      </c>
      <c r="H31" s="113" t="s">
        <v>285</v>
      </c>
      <c r="I31" s="114">
        <v>10000</v>
      </c>
      <c r="J31" s="115">
        <v>21000</v>
      </c>
      <c r="K31" s="575" t="s">
        <v>820</v>
      </c>
      <c r="L31" s="510">
        <v>50</v>
      </c>
      <c r="M31" s="510">
        <v>50</v>
      </c>
      <c r="N31" s="114">
        <v>10000</v>
      </c>
      <c r="O31" s="11"/>
    </row>
    <row r="32" spans="1:15" ht="27" customHeight="1" x14ac:dyDescent="0.2">
      <c r="A32" s="685"/>
      <c r="B32" s="109">
        <v>29</v>
      </c>
      <c r="C32" s="110" t="s">
        <v>288</v>
      </c>
      <c r="D32" s="111" t="s">
        <v>289</v>
      </c>
      <c r="E32" s="112" t="s">
        <v>125</v>
      </c>
      <c r="F32" s="113" t="s">
        <v>189</v>
      </c>
      <c r="G32" s="113">
        <v>47815973</v>
      </c>
      <c r="H32" s="113" t="s">
        <v>290</v>
      </c>
      <c r="I32" s="114">
        <v>13000</v>
      </c>
      <c r="J32" s="115">
        <v>26000</v>
      </c>
      <c r="K32" s="575" t="s">
        <v>821</v>
      </c>
      <c r="L32" s="510">
        <v>50</v>
      </c>
      <c r="M32" s="510">
        <v>50</v>
      </c>
      <c r="N32" s="114">
        <v>13000</v>
      </c>
      <c r="O32" s="11"/>
    </row>
    <row r="33" spans="1:15" ht="27" customHeight="1" x14ac:dyDescent="0.2">
      <c r="A33" s="685"/>
      <c r="B33" s="109">
        <v>30</v>
      </c>
      <c r="C33" s="110" t="s">
        <v>293</v>
      </c>
      <c r="D33" s="111" t="s">
        <v>294</v>
      </c>
      <c r="E33" s="112" t="s">
        <v>125</v>
      </c>
      <c r="F33" s="113" t="s">
        <v>189</v>
      </c>
      <c r="G33" s="113">
        <v>47815973</v>
      </c>
      <c r="H33" s="113" t="s">
        <v>290</v>
      </c>
      <c r="I33" s="114">
        <v>15000</v>
      </c>
      <c r="J33" s="115">
        <v>30000</v>
      </c>
      <c r="K33" s="575" t="s">
        <v>822</v>
      </c>
      <c r="L33" s="510">
        <v>50</v>
      </c>
      <c r="M33" s="510">
        <v>50</v>
      </c>
      <c r="N33" s="114">
        <v>15000</v>
      </c>
      <c r="O33" s="11"/>
    </row>
    <row r="34" spans="1:15" ht="27" customHeight="1" x14ac:dyDescent="0.2">
      <c r="A34" s="685"/>
      <c r="B34" s="109">
        <v>31</v>
      </c>
      <c r="C34" s="110" t="s">
        <v>295</v>
      </c>
      <c r="D34" s="111" t="s">
        <v>73</v>
      </c>
      <c r="E34" s="112" t="s">
        <v>72</v>
      </c>
      <c r="F34" s="113" t="s">
        <v>197</v>
      </c>
      <c r="G34" s="113">
        <v>47811005</v>
      </c>
      <c r="H34" s="113" t="s">
        <v>296</v>
      </c>
      <c r="I34" s="114">
        <v>10000</v>
      </c>
      <c r="J34" s="115">
        <v>20300</v>
      </c>
      <c r="K34" s="575" t="s">
        <v>823</v>
      </c>
      <c r="L34" s="510">
        <v>50</v>
      </c>
      <c r="M34" s="510">
        <v>50</v>
      </c>
      <c r="N34" s="114">
        <v>10000</v>
      </c>
      <c r="O34" s="11"/>
    </row>
    <row r="35" spans="1:15" ht="27" customHeight="1" x14ac:dyDescent="0.2">
      <c r="A35" s="685"/>
      <c r="B35" s="109">
        <v>32</v>
      </c>
      <c r="C35" s="110" t="s">
        <v>297</v>
      </c>
      <c r="D35" s="111" t="s">
        <v>298</v>
      </c>
      <c r="E35" s="112" t="s">
        <v>82</v>
      </c>
      <c r="F35" s="113" t="s">
        <v>197</v>
      </c>
      <c r="G35" s="113">
        <v>66144272</v>
      </c>
      <c r="H35" s="113" t="s">
        <v>299</v>
      </c>
      <c r="I35" s="114">
        <v>20000</v>
      </c>
      <c r="J35" s="115">
        <v>54000</v>
      </c>
      <c r="K35" s="575" t="s">
        <v>824</v>
      </c>
      <c r="L35" s="510">
        <v>50</v>
      </c>
      <c r="M35" s="510">
        <v>50</v>
      </c>
      <c r="N35" s="114">
        <v>20000</v>
      </c>
    </row>
    <row r="36" spans="1:15" s="1" customFormat="1" ht="27" customHeight="1" thickBot="1" x14ac:dyDescent="0.25">
      <c r="A36" s="686"/>
      <c r="B36" s="109">
        <v>33</v>
      </c>
      <c r="C36" s="119" t="s">
        <v>300</v>
      </c>
      <c r="D36" s="120" t="s">
        <v>301</v>
      </c>
      <c r="E36" s="121" t="s">
        <v>82</v>
      </c>
      <c r="F36" s="122" t="s">
        <v>197</v>
      </c>
      <c r="G36" s="122">
        <v>66144272</v>
      </c>
      <c r="H36" s="122" t="s">
        <v>299</v>
      </c>
      <c r="I36" s="123">
        <v>40000</v>
      </c>
      <c r="J36" s="563">
        <v>90000</v>
      </c>
      <c r="K36" s="578" t="s">
        <v>825</v>
      </c>
      <c r="L36" s="579">
        <v>50</v>
      </c>
      <c r="M36" s="579">
        <v>50</v>
      </c>
      <c r="N36" s="123">
        <v>40000</v>
      </c>
    </row>
    <row r="37" spans="1:15" s="1" customFormat="1" ht="36" customHeight="1" x14ac:dyDescent="0.2">
      <c r="A37" s="687" t="s">
        <v>827</v>
      </c>
      <c r="B37" s="109">
        <v>10</v>
      </c>
      <c r="C37" s="550" t="s">
        <v>220</v>
      </c>
      <c r="D37" s="556" t="s">
        <v>221</v>
      </c>
      <c r="E37" s="551" t="s">
        <v>222</v>
      </c>
      <c r="F37" s="552" t="s">
        <v>197</v>
      </c>
      <c r="G37" s="552" t="s">
        <v>223</v>
      </c>
      <c r="H37" s="552" t="s">
        <v>224</v>
      </c>
      <c r="I37" s="117">
        <v>13150</v>
      </c>
      <c r="J37" s="519">
        <v>26300</v>
      </c>
      <c r="K37" s="576"/>
      <c r="L37" s="577">
        <v>50</v>
      </c>
      <c r="M37" s="577">
        <v>50</v>
      </c>
      <c r="N37" s="117">
        <v>0</v>
      </c>
    </row>
    <row r="38" spans="1:15" s="1" customFormat="1" ht="34.5" customHeight="1" x14ac:dyDescent="0.2">
      <c r="A38" s="688"/>
      <c r="B38" s="109">
        <v>11</v>
      </c>
      <c r="C38" s="553" t="s">
        <v>225</v>
      </c>
      <c r="D38" s="556" t="s">
        <v>226</v>
      </c>
      <c r="E38" s="554" t="s">
        <v>227</v>
      </c>
      <c r="F38" s="555" t="s">
        <v>197</v>
      </c>
      <c r="G38" s="555" t="s">
        <v>228</v>
      </c>
      <c r="H38" s="555" t="s">
        <v>229</v>
      </c>
      <c r="I38" s="117">
        <v>60000</v>
      </c>
      <c r="J38" s="118">
        <v>905000</v>
      </c>
      <c r="K38" s="116"/>
      <c r="L38" s="510">
        <v>50</v>
      </c>
      <c r="M38" s="510">
        <v>50</v>
      </c>
      <c r="N38" s="117">
        <v>0</v>
      </c>
    </row>
    <row r="39" spans="1:15" ht="13.5" thickBot="1" x14ac:dyDescent="0.25">
      <c r="I39" s="29">
        <f>SUM(I6:I38)</f>
        <v>1291150</v>
      </c>
      <c r="N39" s="29">
        <f>SUM(N6:N36)</f>
        <v>1218000</v>
      </c>
    </row>
    <row r="40" spans="1:15" ht="18.600000000000001" customHeight="1" x14ac:dyDescent="0.2">
      <c r="C40" s="666" t="s">
        <v>175</v>
      </c>
      <c r="D40" s="124" t="s">
        <v>141</v>
      </c>
      <c r="E40" s="125">
        <v>1300000</v>
      </c>
      <c r="F40" s="81"/>
      <c r="G40" s="81"/>
      <c r="H40" s="81"/>
      <c r="I40" s="29"/>
    </row>
    <row r="41" spans="1:15" ht="18.600000000000001" customHeight="1" x14ac:dyDescent="0.2">
      <c r="C41" s="667"/>
      <c r="D41" s="126" t="s">
        <v>142</v>
      </c>
      <c r="E41" s="507">
        <f>N39</f>
        <v>1218000</v>
      </c>
      <c r="F41" s="81"/>
      <c r="G41" s="81"/>
      <c r="H41" s="81"/>
      <c r="I41" s="506"/>
    </row>
    <row r="42" spans="1:15" ht="18.600000000000001" customHeight="1" thickBot="1" x14ac:dyDescent="0.25">
      <c r="C42" s="668"/>
      <c r="D42" s="508" t="s">
        <v>143</v>
      </c>
      <c r="E42" s="509">
        <f>+E40-E41</f>
        <v>82000</v>
      </c>
      <c r="F42" s="127"/>
      <c r="G42" s="127"/>
      <c r="H42" s="127"/>
      <c r="I42" s="506"/>
    </row>
    <row r="43" spans="1:15" x14ac:dyDescent="0.2">
      <c r="E43" s="76"/>
    </row>
  </sheetData>
  <mergeCells count="16">
    <mergeCell ref="A6:A36"/>
    <mergeCell ref="A37:A38"/>
    <mergeCell ref="N3:N5"/>
    <mergeCell ref="E3:E5"/>
    <mergeCell ref="F3:F5"/>
    <mergeCell ref="G3:G5"/>
    <mergeCell ref="H3:H5"/>
    <mergeCell ref="I3:I5"/>
    <mergeCell ref="J3:J5"/>
    <mergeCell ref="C2:E2"/>
    <mergeCell ref="C40:C42"/>
    <mergeCell ref="K3:K5"/>
    <mergeCell ref="L3:L5"/>
    <mergeCell ref="M3:M5"/>
    <mergeCell ref="C3:C5"/>
    <mergeCell ref="D3:D5"/>
  </mergeCells>
  <pageMargins left="0.7" right="0.7" top="0.78740157499999996" bottom="0.78740157499999996" header="0.3" footer="0.3"/>
  <pageSetup paperSize="9" orientation="landscape" r:id="rId1"/>
  <ignoredErrors>
    <ignoredError sqref="G26:G27 G15:G17 G10:G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RowHeight="12.75" x14ac:dyDescent="0.2"/>
  <cols>
    <col min="1" max="2" width="8.85546875" style="30"/>
    <col min="3" max="3" width="12.140625" style="30" customWidth="1"/>
    <col min="4" max="4" width="12.7109375" style="30" customWidth="1"/>
    <col min="5" max="5" width="14.140625" style="30" customWidth="1"/>
    <col min="6" max="6" width="14.28515625" style="30" customWidth="1"/>
    <col min="7" max="7" width="13.42578125" style="30" customWidth="1"/>
    <col min="8" max="8" width="13.85546875" style="30" customWidth="1"/>
    <col min="9" max="9" width="15.42578125" style="30" customWidth="1"/>
    <col min="10" max="11" width="14.42578125" style="30" customWidth="1"/>
    <col min="12" max="12" width="12.42578125" style="30" customWidth="1"/>
    <col min="13" max="13" width="6.5703125" style="30" customWidth="1"/>
    <col min="14" max="14" width="10.140625" style="30" customWidth="1"/>
    <col min="15" max="15" width="7.42578125" style="30" customWidth="1"/>
    <col min="16" max="16" width="8.7109375" style="30" customWidth="1"/>
    <col min="17" max="17" width="17.42578125" style="28" customWidth="1"/>
    <col min="18" max="19" width="13.42578125" style="28" customWidth="1"/>
    <col min="20" max="20" width="16.5703125" style="28" customWidth="1"/>
    <col min="21" max="21" width="17.5703125" style="29" customWidth="1"/>
    <col min="22" max="22" width="26.42578125" style="30" customWidth="1"/>
  </cols>
  <sheetData>
    <row r="1" spans="1:22" ht="17.25" thickTop="1" thickBot="1" x14ac:dyDescent="0.3">
      <c r="A1" s="746" t="s">
        <v>693</v>
      </c>
      <c r="B1" s="747"/>
      <c r="C1" s="504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1"/>
      <c r="R1" s="501"/>
      <c r="S1" s="501"/>
      <c r="T1" s="501"/>
      <c r="U1" s="502"/>
      <c r="V1" s="503"/>
    </row>
    <row r="2" spans="1:22" ht="13.5" customHeight="1" thickBot="1" x14ac:dyDescent="0.25">
      <c r="A2" s="748"/>
      <c r="B2" s="749"/>
      <c r="C2" s="742" t="s">
        <v>673</v>
      </c>
      <c r="D2" s="751">
        <f>'SPORT S1 + S3 základní'!F130</f>
        <v>4093000</v>
      </c>
      <c r="E2" s="754">
        <v>1</v>
      </c>
      <c r="F2" s="755"/>
      <c r="G2" s="756">
        <v>2</v>
      </c>
      <c r="H2" s="757"/>
      <c r="I2" s="758">
        <v>3</v>
      </c>
      <c r="J2" s="759"/>
      <c r="K2" s="775">
        <v>4</v>
      </c>
      <c r="L2" s="776"/>
      <c r="M2" s="777" t="s">
        <v>678</v>
      </c>
      <c r="N2" s="778"/>
      <c r="O2" s="779" t="s">
        <v>679</v>
      </c>
      <c r="P2" s="780"/>
      <c r="Q2" s="789" t="s">
        <v>674</v>
      </c>
      <c r="R2" s="699" t="s">
        <v>675</v>
      </c>
      <c r="S2" s="700" t="s">
        <v>676</v>
      </c>
      <c r="T2" s="703" t="s">
        <v>145</v>
      </c>
      <c r="U2" s="696" t="s">
        <v>171</v>
      </c>
      <c r="V2" s="692" t="s">
        <v>172</v>
      </c>
    </row>
    <row r="3" spans="1:22" ht="12.75" customHeight="1" x14ac:dyDescent="0.2">
      <c r="A3" s="748"/>
      <c r="B3" s="749"/>
      <c r="C3" s="742"/>
      <c r="D3" s="752"/>
      <c r="E3" s="766" t="s">
        <v>146</v>
      </c>
      <c r="F3" s="768">
        <f>(D2/100)*40</f>
        <v>1637200</v>
      </c>
      <c r="G3" s="770" t="s">
        <v>147</v>
      </c>
      <c r="H3" s="722">
        <f>(D2/100)*10</f>
        <v>409300</v>
      </c>
      <c r="I3" s="724" t="s">
        <v>146</v>
      </c>
      <c r="J3" s="743">
        <f>(D2/100)*40</f>
        <v>1637200</v>
      </c>
      <c r="K3" s="800" t="s">
        <v>147</v>
      </c>
      <c r="L3" s="802">
        <f>(D2/100)*10</f>
        <v>409300</v>
      </c>
      <c r="M3" s="798">
        <v>1</v>
      </c>
      <c r="N3" s="799">
        <f>F3+H3+J3+L3</f>
        <v>4093000</v>
      </c>
      <c r="O3" s="726" t="s">
        <v>148</v>
      </c>
      <c r="P3" s="728">
        <v>900000</v>
      </c>
      <c r="Q3" s="790"/>
      <c r="R3" s="699"/>
      <c r="S3" s="701"/>
      <c r="T3" s="703"/>
      <c r="U3" s="697"/>
      <c r="V3" s="692"/>
    </row>
    <row r="4" spans="1:22" ht="13.5" thickBot="1" x14ac:dyDescent="0.25">
      <c r="A4" s="748"/>
      <c r="B4" s="749"/>
      <c r="C4" s="742"/>
      <c r="D4" s="753"/>
      <c r="E4" s="767"/>
      <c r="F4" s="769"/>
      <c r="G4" s="771"/>
      <c r="H4" s="723"/>
      <c r="I4" s="725"/>
      <c r="J4" s="744"/>
      <c r="K4" s="801"/>
      <c r="L4" s="803"/>
      <c r="M4" s="667"/>
      <c r="N4" s="799"/>
      <c r="O4" s="727"/>
      <c r="P4" s="728"/>
      <c r="Q4" s="790"/>
      <c r="R4" s="699"/>
      <c r="S4" s="701"/>
      <c r="T4" s="703"/>
      <c r="U4" s="697"/>
      <c r="V4" s="692"/>
    </row>
    <row r="5" spans="1:22" ht="20.25" customHeight="1" thickBot="1" x14ac:dyDescent="0.25">
      <c r="A5" s="748"/>
      <c r="B5" s="750"/>
      <c r="C5" s="742"/>
      <c r="D5" s="772" t="s">
        <v>158</v>
      </c>
      <c r="E5" s="736" t="s">
        <v>149</v>
      </c>
      <c r="F5" s="738" t="s">
        <v>150</v>
      </c>
      <c r="G5" s="740" t="s">
        <v>151</v>
      </c>
      <c r="H5" s="760" t="s">
        <v>152</v>
      </c>
      <c r="I5" s="762" t="s">
        <v>683</v>
      </c>
      <c r="J5" s="764" t="s">
        <v>153</v>
      </c>
      <c r="K5" s="762" t="s">
        <v>154</v>
      </c>
      <c r="L5" s="781" t="s">
        <v>155</v>
      </c>
      <c r="M5" s="783" t="s">
        <v>156</v>
      </c>
      <c r="N5" s="784"/>
      <c r="O5" s="792" t="s">
        <v>157</v>
      </c>
      <c r="P5" s="793"/>
      <c r="Q5" s="790"/>
      <c r="R5" s="699"/>
      <c r="S5" s="701"/>
      <c r="T5" s="703"/>
      <c r="U5" s="697"/>
      <c r="V5" s="692"/>
    </row>
    <row r="6" spans="1:22" ht="36" customHeight="1" thickBot="1" x14ac:dyDescent="0.25">
      <c r="A6" s="748"/>
      <c r="B6" s="750"/>
      <c r="C6" s="742"/>
      <c r="D6" s="773"/>
      <c r="E6" s="737"/>
      <c r="F6" s="739"/>
      <c r="G6" s="741"/>
      <c r="H6" s="761"/>
      <c r="I6" s="763"/>
      <c r="J6" s="765"/>
      <c r="K6" s="763"/>
      <c r="L6" s="782"/>
      <c r="M6" s="785"/>
      <c r="N6" s="786"/>
      <c r="O6" s="794"/>
      <c r="P6" s="795"/>
      <c r="Q6" s="791"/>
      <c r="R6" s="31">
        <f>Q18</f>
        <v>480167.09036913328</v>
      </c>
      <c r="S6" s="702"/>
      <c r="T6" s="704"/>
      <c r="U6" s="698"/>
      <c r="V6" s="693"/>
    </row>
    <row r="7" spans="1:22" ht="23.25" customHeight="1" thickTop="1" x14ac:dyDescent="0.2">
      <c r="A7" s="729" t="s">
        <v>159</v>
      </c>
      <c r="B7" s="730"/>
      <c r="C7" s="731"/>
      <c r="D7" s="32">
        <f>'SPORT S1 + S3 základní'!AT98</f>
        <v>178500</v>
      </c>
      <c r="E7" s="33">
        <v>169</v>
      </c>
      <c r="F7" s="34">
        <f>($F$3/$E$18)*E7</f>
        <v>135630.78431372548</v>
      </c>
      <c r="G7" s="35">
        <v>64</v>
      </c>
      <c r="H7" s="36">
        <f>($H$3/$G$18)*G7</f>
        <v>142365.21739130435</v>
      </c>
      <c r="I7" s="33">
        <v>3023000</v>
      </c>
      <c r="J7" s="37">
        <f>($J$3/$I$18)*I7</f>
        <v>200854.49454161763</v>
      </c>
      <c r="K7" s="33">
        <v>910000</v>
      </c>
      <c r="L7" s="37">
        <f>($L$3/$K$18)*K7</f>
        <v>92578.793000596546</v>
      </c>
      <c r="M7" s="732">
        <f t="shared" ref="M7:M17" si="0">F7+H7+J7+L7</f>
        <v>571429.28924724401</v>
      </c>
      <c r="N7" s="733"/>
      <c r="O7" s="734">
        <f t="shared" ref="O7:O8" si="1">D7+M7</f>
        <v>749929.28924724401</v>
      </c>
      <c r="P7" s="735"/>
      <c r="Q7" s="38">
        <v>0</v>
      </c>
      <c r="R7" s="39">
        <v>0</v>
      </c>
      <c r="S7" s="40">
        <f>M7-Q7+R7</f>
        <v>571429.28924724401</v>
      </c>
      <c r="T7" s="41">
        <f>D7+S7</f>
        <v>749929.28924724401</v>
      </c>
      <c r="U7" s="42">
        <f>ROUND(T7,-2)</f>
        <v>749900</v>
      </c>
      <c r="V7" s="460" t="s">
        <v>159</v>
      </c>
    </row>
    <row r="8" spans="1:22" ht="23.25" customHeight="1" x14ac:dyDescent="0.2">
      <c r="A8" s="712" t="s">
        <v>160</v>
      </c>
      <c r="B8" s="713"/>
      <c r="C8" s="714"/>
      <c r="D8" s="43">
        <f>'SPORT S1 + S3 základní'!AT93</f>
        <v>537500</v>
      </c>
      <c r="E8" s="44">
        <v>615</v>
      </c>
      <c r="F8" s="45">
        <f>($F$3/$E$18)*E8</f>
        <v>493567.6470588235</v>
      </c>
      <c r="G8" s="46">
        <v>35</v>
      </c>
      <c r="H8" s="47">
        <f>($H$3/$G$18)*G8</f>
        <v>77855.978260869568</v>
      </c>
      <c r="I8" s="44">
        <v>3520000</v>
      </c>
      <c r="J8" s="48">
        <f>($J$3/$I$18)*I8</f>
        <v>233876.22255590279</v>
      </c>
      <c r="K8" s="44">
        <v>367300</v>
      </c>
      <c r="L8" s="48">
        <f>($L$3/$K$18)*K8</f>
        <v>37367.242493537487</v>
      </c>
      <c r="M8" s="715">
        <f t="shared" si="0"/>
        <v>842667.09036913328</v>
      </c>
      <c r="N8" s="716"/>
      <c r="O8" s="717">
        <f t="shared" si="1"/>
        <v>1380167.0903691333</v>
      </c>
      <c r="P8" s="718"/>
      <c r="Q8" s="49">
        <f>O8-strop</f>
        <v>480167.09036913328</v>
      </c>
      <c r="R8" s="50">
        <v>0</v>
      </c>
      <c r="S8" s="51">
        <f t="shared" ref="S8:S17" si="2">M8-Q8+R8</f>
        <v>362500</v>
      </c>
      <c r="T8" s="52">
        <f t="shared" ref="T8:T17" si="3">D8+S8</f>
        <v>900000</v>
      </c>
      <c r="U8" s="53">
        <f t="shared" ref="U8:U17" si="4">ROUND(T8,-2)</f>
        <v>900000</v>
      </c>
      <c r="V8" s="461" t="s">
        <v>160</v>
      </c>
    </row>
    <row r="9" spans="1:22" ht="23.25" customHeight="1" x14ac:dyDescent="0.2">
      <c r="A9" s="712" t="s">
        <v>161</v>
      </c>
      <c r="B9" s="713"/>
      <c r="C9" s="714"/>
      <c r="D9" s="43">
        <f>'SPORT S1 + S3 základní'!AT103</f>
        <v>189700</v>
      </c>
      <c r="E9" s="44">
        <v>279</v>
      </c>
      <c r="F9" s="45">
        <f>($F$3/$E$18)*E9</f>
        <v>223911.17647058822</v>
      </c>
      <c r="G9" s="46">
        <v>10</v>
      </c>
      <c r="H9" s="47">
        <f>($H$3/$G$18)*G9</f>
        <v>22244.565217391304</v>
      </c>
      <c r="I9" s="44">
        <v>2355000</v>
      </c>
      <c r="J9" s="48">
        <f>($J$3/$I$18)*I9</f>
        <v>156471.16594294063</v>
      </c>
      <c r="K9" s="44">
        <v>244000</v>
      </c>
      <c r="L9" s="48">
        <f>($L$3/$K$18)*K9</f>
        <v>24823.32471664347</v>
      </c>
      <c r="M9" s="719">
        <f t="shared" si="0"/>
        <v>427450.23234756367</v>
      </c>
      <c r="N9" s="720"/>
      <c r="O9" s="717">
        <f t="shared" ref="O9:O14" si="5">D9+M9</f>
        <v>617150.23234756361</v>
      </c>
      <c r="P9" s="718"/>
      <c r="Q9" s="49">
        <v>0</v>
      </c>
      <c r="R9" s="50">
        <v>0</v>
      </c>
      <c r="S9" s="51">
        <f t="shared" si="2"/>
        <v>427450.23234756367</v>
      </c>
      <c r="T9" s="52">
        <f t="shared" si="3"/>
        <v>617150.23234756361</v>
      </c>
      <c r="U9" s="53">
        <f t="shared" si="4"/>
        <v>617200</v>
      </c>
      <c r="V9" s="461" t="s">
        <v>161</v>
      </c>
    </row>
    <row r="10" spans="1:22" ht="23.25" customHeight="1" x14ac:dyDescent="0.2">
      <c r="A10" s="712" t="s">
        <v>162</v>
      </c>
      <c r="B10" s="713"/>
      <c r="C10" s="714"/>
      <c r="D10" s="43">
        <f>'SPORT S1 + S3 základní'!AT100</f>
        <v>41900</v>
      </c>
      <c r="E10" s="44">
        <v>47</v>
      </c>
      <c r="F10" s="45">
        <f>($F$3/$E$18)*E10</f>
        <v>37719.803921568622</v>
      </c>
      <c r="G10" s="46">
        <v>6</v>
      </c>
      <c r="H10" s="47">
        <f>($H$3/$G$18)*G10</f>
        <v>13346.739130434784</v>
      </c>
      <c r="I10" s="44">
        <v>675000</v>
      </c>
      <c r="J10" s="48">
        <f>($J$3/$I$18)*I10</f>
        <v>44848.423359441585</v>
      </c>
      <c r="K10" s="44">
        <v>62000</v>
      </c>
      <c r="L10" s="48">
        <f>($L$3/$K$18)*K10</f>
        <v>6307.56611652416</v>
      </c>
      <c r="M10" s="719">
        <f t="shared" si="0"/>
        <v>102222.53252796916</v>
      </c>
      <c r="N10" s="720"/>
      <c r="O10" s="717">
        <f t="shared" si="5"/>
        <v>144122.53252796916</v>
      </c>
      <c r="P10" s="718"/>
      <c r="Q10" s="49">
        <v>0</v>
      </c>
      <c r="R10" s="50">
        <f>R25-O10</f>
        <v>196977.46747203084</v>
      </c>
      <c r="S10" s="51">
        <f t="shared" si="2"/>
        <v>299200</v>
      </c>
      <c r="T10" s="52">
        <f t="shared" si="3"/>
        <v>341100</v>
      </c>
      <c r="U10" s="53">
        <f t="shared" si="4"/>
        <v>341100</v>
      </c>
      <c r="V10" s="461" t="s">
        <v>162</v>
      </c>
    </row>
    <row r="11" spans="1:22" ht="23.25" customHeight="1" x14ac:dyDescent="0.2">
      <c r="A11" s="712" t="s">
        <v>163</v>
      </c>
      <c r="B11" s="713"/>
      <c r="C11" s="714"/>
      <c r="D11" s="43">
        <f>'SPORT S1 + S3 základní'!AT99</f>
        <v>29400</v>
      </c>
      <c r="E11" s="44">
        <v>25</v>
      </c>
      <c r="F11" s="45">
        <f>($F$3/$E$18)*E11</f>
        <v>20063.725490196077</v>
      </c>
      <c r="G11" s="46">
        <v>7</v>
      </c>
      <c r="H11" s="47">
        <f>($H$3/$G$18)*G11</f>
        <v>15571.195652173914</v>
      </c>
      <c r="I11" s="44">
        <v>2920000</v>
      </c>
      <c r="J11" s="48">
        <f>($J$3/$I$18)*I11</f>
        <v>194010.95734751027</v>
      </c>
      <c r="K11" s="44">
        <v>20000</v>
      </c>
      <c r="L11" s="48">
        <f>($L$3/$K$18)*K11</f>
        <v>2034.6987472658582</v>
      </c>
      <c r="M11" s="719">
        <f t="shared" si="0"/>
        <v>231680.57723714609</v>
      </c>
      <c r="N11" s="720"/>
      <c r="O11" s="717">
        <f t="shared" si="5"/>
        <v>261080.57723714609</v>
      </c>
      <c r="P11" s="718"/>
      <c r="Q11" s="49">
        <v>0</v>
      </c>
      <c r="R11" s="50">
        <f>R25-O11</f>
        <v>80019.422762853908</v>
      </c>
      <c r="S11" s="51">
        <f t="shared" si="2"/>
        <v>311700</v>
      </c>
      <c r="T11" s="52">
        <f t="shared" si="3"/>
        <v>341100</v>
      </c>
      <c r="U11" s="53">
        <f t="shared" si="4"/>
        <v>341100</v>
      </c>
      <c r="V11" s="461" t="s">
        <v>163</v>
      </c>
    </row>
    <row r="12" spans="1:22" ht="23.25" customHeight="1" x14ac:dyDescent="0.2">
      <c r="A12" s="712" t="s">
        <v>167</v>
      </c>
      <c r="B12" s="713"/>
      <c r="C12" s="714"/>
      <c r="D12" s="43">
        <f>'SPORT S1 + S3 základní'!AT102</f>
        <v>154500</v>
      </c>
      <c r="E12" s="44">
        <v>224</v>
      </c>
      <c r="F12" s="45">
        <f t="shared" ref="F12" si="6">($F$3/$E$18)*E12</f>
        <v>179770.98039215687</v>
      </c>
      <c r="G12" s="46">
        <v>7</v>
      </c>
      <c r="H12" s="47">
        <f t="shared" ref="H12" si="7">($H$3/$G$18)*G12</f>
        <v>15571.195652173914</v>
      </c>
      <c r="I12" s="44">
        <v>2705000</v>
      </c>
      <c r="J12" s="48">
        <f t="shared" ref="J12" si="8">($J$3/$I$18)*I12</f>
        <v>179725.9039811696</v>
      </c>
      <c r="K12" s="44">
        <v>426000</v>
      </c>
      <c r="L12" s="48">
        <f t="shared" ref="L12" si="9">($L$3/$K$18)*K12</f>
        <v>43339.083316762779</v>
      </c>
      <c r="M12" s="719">
        <f t="shared" si="0"/>
        <v>418407.16334226314</v>
      </c>
      <c r="N12" s="719"/>
      <c r="O12" s="717">
        <f t="shared" si="5"/>
        <v>572907.16334226308</v>
      </c>
      <c r="P12" s="721"/>
      <c r="Q12" s="49">
        <v>0</v>
      </c>
      <c r="R12" s="50">
        <v>0</v>
      </c>
      <c r="S12" s="51">
        <f t="shared" si="2"/>
        <v>418407.16334226314</v>
      </c>
      <c r="T12" s="52">
        <f t="shared" si="3"/>
        <v>572907.16334226308</v>
      </c>
      <c r="U12" s="53">
        <f t="shared" si="4"/>
        <v>572900</v>
      </c>
      <c r="V12" s="461" t="s">
        <v>167</v>
      </c>
    </row>
    <row r="13" spans="1:22" ht="23.25" customHeight="1" x14ac:dyDescent="0.2">
      <c r="A13" s="712" t="s">
        <v>164</v>
      </c>
      <c r="B13" s="713"/>
      <c r="C13" s="714"/>
      <c r="D13" s="43">
        <f>'SPORT S1 + S3 základní'!AT95</f>
        <v>93300</v>
      </c>
      <c r="E13" s="44">
        <v>176</v>
      </c>
      <c r="F13" s="45">
        <f>($F$3/$E$18)*E13</f>
        <v>141248.62745098039</v>
      </c>
      <c r="G13" s="46">
        <v>11</v>
      </c>
      <c r="H13" s="47">
        <f>($H$3/$G$18)*G13</f>
        <v>24469.021739130436</v>
      </c>
      <c r="I13" s="44">
        <v>1300000</v>
      </c>
      <c r="J13" s="48">
        <f>($J$3/$I$18)*I13</f>
        <v>86374.741284850461</v>
      </c>
      <c r="K13" s="44">
        <v>102500</v>
      </c>
      <c r="L13" s="48">
        <f>($L$3/$K$18)*K13</f>
        <v>10427.831079737523</v>
      </c>
      <c r="M13" s="715">
        <f t="shared" si="0"/>
        <v>262520.22155469883</v>
      </c>
      <c r="N13" s="716"/>
      <c r="O13" s="717">
        <f t="shared" si="5"/>
        <v>355820.22155469883</v>
      </c>
      <c r="P13" s="718"/>
      <c r="Q13" s="49">
        <v>0</v>
      </c>
      <c r="R13" s="50">
        <v>0</v>
      </c>
      <c r="S13" s="51">
        <f t="shared" si="2"/>
        <v>262520.22155469883</v>
      </c>
      <c r="T13" s="52">
        <f t="shared" si="3"/>
        <v>355820.22155469883</v>
      </c>
      <c r="U13" s="53">
        <f t="shared" si="4"/>
        <v>355800</v>
      </c>
      <c r="V13" s="461" t="s">
        <v>164</v>
      </c>
    </row>
    <row r="14" spans="1:22" ht="23.25" customHeight="1" x14ac:dyDescent="0.2">
      <c r="A14" s="712" t="s">
        <v>168</v>
      </c>
      <c r="B14" s="713"/>
      <c r="C14" s="714"/>
      <c r="D14" s="43">
        <f>'SPORT S1 + S3 základní'!AT96</f>
        <v>61700</v>
      </c>
      <c r="E14" s="44">
        <v>97</v>
      </c>
      <c r="F14" s="45">
        <f>($F$3/$E$18)*E14</f>
        <v>77847.254901960783</v>
      </c>
      <c r="G14" s="46">
        <v>7</v>
      </c>
      <c r="H14" s="47">
        <f>($H$3/$G$18)*G14</f>
        <v>15571.195652173914</v>
      </c>
      <c r="I14" s="44">
        <v>861000</v>
      </c>
      <c r="J14" s="48">
        <f>($J$3/$I$18)*I14</f>
        <v>57206.655574043267</v>
      </c>
      <c r="K14" s="44">
        <v>11400</v>
      </c>
      <c r="L14" s="48">
        <f>($L$3/$K$18)*K14</f>
        <v>1159.7782859415393</v>
      </c>
      <c r="M14" s="715">
        <f t="shared" si="0"/>
        <v>151784.8844141195</v>
      </c>
      <c r="N14" s="716"/>
      <c r="O14" s="717">
        <f t="shared" si="5"/>
        <v>213484.8844141195</v>
      </c>
      <c r="P14" s="718"/>
      <c r="Q14" s="49">
        <v>0</v>
      </c>
      <c r="R14" s="50">
        <f>R25-O14</f>
        <v>127615.1155858805</v>
      </c>
      <c r="S14" s="51">
        <f t="shared" si="2"/>
        <v>279400</v>
      </c>
      <c r="T14" s="52">
        <f t="shared" si="3"/>
        <v>341100</v>
      </c>
      <c r="U14" s="53">
        <f t="shared" si="4"/>
        <v>341100</v>
      </c>
      <c r="V14" s="461" t="s">
        <v>168</v>
      </c>
    </row>
    <row r="15" spans="1:22" ht="23.25" customHeight="1" x14ac:dyDescent="0.2">
      <c r="A15" s="712" t="s">
        <v>169</v>
      </c>
      <c r="B15" s="713"/>
      <c r="C15" s="714"/>
      <c r="D15" s="43">
        <f>'SPORT S1 + S3 základní'!AT94</f>
        <v>97900</v>
      </c>
      <c r="E15" s="54">
        <v>102</v>
      </c>
      <c r="F15" s="45">
        <f t="shared" ref="F15:F17" si="10">($F$3/$E$18)*E15</f>
        <v>81860</v>
      </c>
      <c r="G15" s="55">
        <v>8</v>
      </c>
      <c r="H15" s="47">
        <f t="shared" ref="H15:H16" si="11">($H$3/$G$18)*G15</f>
        <v>17795.652173913044</v>
      </c>
      <c r="I15" s="54">
        <v>3210000</v>
      </c>
      <c r="J15" s="48">
        <f t="shared" ref="J15:J17" si="12">($J$3/$I$18)*I15</f>
        <v>213279.16886489998</v>
      </c>
      <c r="K15" s="54">
        <v>670000</v>
      </c>
      <c r="L15" s="48">
        <f t="shared" ref="L15:L17" si="13">($L$3/$K$18)*K15</f>
        <v>68162.408033406246</v>
      </c>
      <c r="M15" s="715">
        <f t="shared" ref="M15:M16" si="14">F15+H15+J15+L15</f>
        <v>381097.22907221928</v>
      </c>
      <c r="N15" s="716"/>
      <c r="O15" s="717">
        <f t="shared" ref="O15:O17" si="15">D15+M15</f>
        <v>478997.22907221928</v>
      </c>
      <c r="P15" s="718"/>
      <c r="Q15" s="49">
        <v>0</v>
      </c>
      <c r="R15" s="50"/>
      <c r="S15" s="51">
        <f t="shared" si="2"/>
        <v>381097.22907221928</v>
      </c>
      <c r="T15" s="52">
        <f t="shared" si="3"/>
        <v>478997.22907221928</v>
      </c>
      <c r="U15" s="53">
        <f t="shared" si="4"/>
        <v>479000</v>
      </c>
      <c r="V15" s="461" t="s">
        <v>169</v>
      </c>
    </row>
    <row r="16" spans="1:22" ht="23.25" customHeight="1" x14ac:dyDescent="0.2">
      <c r="A16" s="712" t="s">
        <v>170</v>
      </c>
      <c r="B16" s="713"/>
      <c r="C16" s="714"/>
      <c r="D16" s="43">
        <f>'SPORT S1 + S3 základní'!AT97</f>
        <v>48100</v>
      </c>
      <c r="E16" s="54">
        <v>104</v>
      </c>
      <c r="F16" s="45">
        <f t="shared" si="10"/>
        <v>83465.098039215678</v>
      </c>
      <c r="G16" s="55">
        <v>6</v>
      </c>
      <c r="H16" s="47">
        <f t="shared" si="11"/>
        <v>13346.739130434784</v>
      </c>
      <c r="I16" s="54">
        <v>1367000</v>
      </c>
      <c r="J16" s="48">
        <f t="shared" si="12"/>
        <v>90826.362566454292</v>
      </c>
      <c r="K16" s="54">
        <v>295000</v>
      </c>
      <c r="L16" s="48">
        <f t="shared" si="13"/>
        <v>30011.806522171406</v>
      </c>
      <c r="M16" s="715">
        <f t="shared" si="14"/>
        <v>217650.00625827617</v>
      </c>
      <c r="N16" s="716"/>
      <c r="O16" s="717">
        <f t="shared" si="15"/>
        <v>265750.00625827617</v>
      </c>
      <c r="P16" s="718"/>
      <c r="Q16" s="49">
        <v>0</v>
      </c>
      <c r="R16" s="50">
        <f>R25-O16</f>
        <v>75349.993741723825</v>
      </c>
      <c r="S16" s="51">
        <f t="shared" si="2"/>
        <v>293000</v>
      </c>
      <c r="T16" s="52">
        <f t="shared" si="3"/>
        <v>341100</v>
      </c>
      <c r="U16" s="53">
        <f t="shared" si="4"/>
        <v>341100</v>
      </c>
      <c r="V16" s="461" t="s">
        <v>170</v>
      </c>
    </row>
    <row r="17" spans="1:22" ht="23.25" customHeight="1" thickBot="1" x14ac:dyDescent="0.25">
      <c r="A17" s="705" t="s">
        <v>165</v>
      </c>
      <c r="B17" s="706"/>
      <c r="C17" s="707"/>
      <c r="D17" s="56">
        <f>'SPORT S1 + S3 základní'!AT101</f>
        <v>174500</v>
      </c>
      <c r="E17" s="57">
        <v>202</v>
      </c>
      <c r="F17" s="58">
        <f t="shared" si="10"/>
        <v>162114.90196078431</v>
      </c>
      <c r="G17" s="59">
        <v>23</v>
      </c>
      <c r="H17" s="60">
        <f>($H$3/$G$18)*G17</f>
        <v>51162.5</v>
      </c>
      <c r="I17" s="57">
        <v>2705000</v>
      </c>
      <c r="J17" s="61">
        <f t="shared" si="12"/>
        <v>179725.9039811696</v>
      </c>
      <c r="K17" s="57">
        <v>915000</v>
      </c>
      <c r="L17" s="61">
        <f t="shared" si="13"/>
        <v>93087.467687413009</v>
      </c>
      <c r="M17" s="708">
        <f t="shared" si="0"/>
        <v>486090.77362936689</v>
      </c>
      <c r="N17" s="709"/>
      <c r="O17" s="710">
        <f t="shared" si="15"/>
        <v>660590.77362936689</v>
      </c>
      <c r="P17" s="711"/>
      <c r="Q17" s="49">
        <v>0</v>
      </c>
      <c r="R17" s="62"/>
      <c r="S17" s="63">
        <f t="shared" si="2"/>
        <v>486090.77362936689</v>
      </c>
      <c r="T17" s="64">
        <f t="shared" si="3"/>
        <v>660590.77362936689</v>
      </c>
      <c r="U17" s="65">
        <f t="shared" si="4"/>
        <v>660600</v>
      </c>
      <c r="V17" s="462" t="s">
        <v>165</v>
      </c>
    </row>
    <row r="18" spans="1:22" ht="13.5" thickTop="1" x14ac:dyDescent="0.2">
      <c r="D18" s="66">
        <f>SUM(D7:D17)</f>
        <v>1607000</v>
      </c>
      <c r="E18" s="66">
        <f t="shared" ref="E18:G18" si="16">SUM(E7:E17)</f>
        <v>2040</v>
      </c>
      <c r="F18" s="66">
        <f t="shared" si="16"/>
        <v>1637200</v>
      </c>
      <c r="G18" s="66">
        <f t="shared" si="16"/>
        <v>184</v>
      </c>
      <c r="H18" s="66">
        <f>SUM(H7:H17)</f>
        <v>409299.99999999988</v>
      </c>
      <c r="I18" s="66">
        <f t="shared" ref="I18" si="17">SUM(I7:I17)</f>
        <v>24641000</v>
      </c>
      <c r="J18" s="66">
        <f t="shared" ref="J18" si="18">SUM(J7:J17)</f>
        <v>1637200.0000000002</v>
      </c>
      <c r="K18" s="66">
        <f t="shared" ref="K18" si="19">SUM(K7:K17)</f>
        <v>4023200</v>
      </c>
      <c r="L18" s="66">
        <f t="shared" ref="L18" si="20">SUM(L7:L17)</f>
        <v>409300</v>
      </c>
      <c r="M18" s="796">
        <f t="shared" ref="M18:U18" si="21">SUM(M7:M17)</f>
        <v>4093000.0000000005</v>
      </c>
      <c r="N18" s="796"/>
      <c r="O18" s="797">
        <f t="shared" si="21"/>
        <v>5700000</v>
      </c>
      <c r="P18" s="797"/>
      <c r="Q18" s="67">
        <f t="shared" si="21"/>
        <v>480167.09036913328</v>
      </c>
      <c r="R18" s="67">
        <f t="shared" si="21"/>
        <v>479961.9995624891</v>
      </c>
      <c r="S18" s="67">
        <f t="shared" si="21"/>
        <v>4092794.9091933561</v>
      </c>
      <c r="T18" s="67">
        <f t="shared" si="21"/>
        <v>5699794.9091933556</v>
      </c>
      <c r="U18" s="67">
        <f t="shared" si="21"/>
        <v>5699800</v>
      </c>
      <c r="V18" s="68"/>
    </row>
    <row r="19" spans="1:22" ht="13.5" thickBot="1" x14ac:dyDescent="0.25"/>
    <row r="20" spans="1:22" x14ac:dyDescent="0.2">
      <c r="A20" s="77" t="s">
        <v>166</v>
      </c>
      <c r="B20" s="78"/>
      <c r="C20" s="79"/>
      <c r="M20" s="69"/>
      <c r="N20" s="69"/>
      <c r="O20" s="69"/>
      <c r="P20" s="69"/>
      <c r="Q20" s="70"/>
      <c r="R20" s="70"/>
      <c r="S20" s="70"/>
      <c r="T20" s="70"/>
      <c r="U20" s="71"/>
    </row>
    <row r="21" spans="1:22" ht="13.5" thickBot="1" x14ac:dyDescent="0.25">
      <c r="A21" s="80" t="s">
        <v>149</v>
      </c>
      <c r="B21" s="81"/>
      <c r="C21" s="82"/>
      <c r="D21" s="106" t="s">
        <v>690</v>
      </c>
      <c r="M21" s="69"/>
      <c r="N21" s="72"/>
      <c r="O21" s="72"/>
      <c r="P21" s="72"/>
      <c r="Q21" s="72"/>
      <c r="R21" s="72"/>
      <c r="S21" s="72"/>
      <c r="T21" s="73"/>
      <c r="U21" s="71"/>
    </row>
    <row r="22" spans="1:22" ht="13.5" thickBot="1" x14ac:dyDescent="0.25">
      <c r="A22" s="80" t="s">
        <v>151</v>
      </c>
      <c r="B22" s="81"/>
      <c r="C22" s="82"/>
      <c r="D22" s="106" t="s">
        <v>690</v>
      </c>
      <c r="M22" s="69"/>
      <c r="N22" s="69"/>
      <c r="O22" s="69"/>
      <c r="P22" s="787" t="s">
        <v>677</v>
      </c>
      <c r="Q22" s="788"/>
      <c r="R22" s="459">
        <f>R6-R7-R8-R9-R10-R11-R12-R13-R14-R15-R16-R17</f>
        <v>205.09080664420617</v>
      </c>
      <c r="S22" s="70"/>
      <c r="T22" s="70"/>
      <c r="U22" s="71"/>
    </row>
    <row r="23" spans="1:22" x14ac:dyDescent="0.2">
      <c r="A23" s="80" t="s">
        <v>684</v>
      </c>
      <c r="B23" s="81"/>
      <c r="C23" s="82"/>
      <c r="D23" s="106" t="s">
        <v>690</v>
      </c>
      <c r="E23" s="74"/>
      <c r="M23" s="69"/>
      <c r="N23" s="75"/>
      <c r="O23" s="75"/>
      <c r="P23" s="75"/>
      <c r="Q23" s="75"/>
      <c r="R23" s="75"/>
      <c r="S23" s="75"/>
      <c r="T23" s="694"/>
      <c r="U23" s="71"/>
    </row>
    <row r="24" spans="1:22" ht="13.5" thickBot="1" x14ac:dyDescent="0.25">
      <c r="A24" s="83" t="s">
        <v>154</v>
      </c>
      <c r="B24" s="84"/>
      <c r="C24" s="85"/>
      <c r="D24" s="106" t="s">
        <v>690</v>
      </c>
      <c r="M24" s="69"/>
      <c r="N24" s="75"/>
      <c r="O24" s="75"/>
      <c r="P24" s="75"/>
      <c r="Q24" s="75"/>
      <c r="R24" s="75"/>
      <c r="S24" s="75"/>
      <c r="T24" s="695"/>
      <c r="U24" s="71"/>
    </row>
    <row r="25" spans="1:22" x14ac:dyDescent="0.2">
      <c r="D25" s="76"/>
      <c r="N25" s="745" t="s">
        <v>691</v>
      </c>
      <c r="O25" s="745"/>
      <c r="P25" s="745"/>
      <c r="Q25" s="745"/>
      <c r="R25" s="774">
        <v>341100</v>
      </c>
      <c r="T25" s="458"/>
    </row>
    <row r="26" spans="1:22" x14ac:dyDescent="0.2">
      <c r="N26" s="745"/>
      <c r="O26" s="745"/>
      <c r="P26" s="745"/>
      <c r="Q26" s="745"/>
      <c r="R26" s="774"/>
      <c r="T26" s="511"/>
    </row>
  </sheetData>
  <mergeCells count="77">
    <mergeCell ref="R25:R26"/>
    <mergeCell ref="K2:L2"/>
    <mergeCell ref="M2:N2"/>
    <mergeCell ref="O2:P2"/>
    <mergeCell ref="K5:K6"/>
    <mergeCell ref="L5:L6"/>
    <mergeCell ref="M5:N6"/>
    <mergeCell ref="P22:Q22"/>
    <mergeCell ref="Q2:Q6"/>
    <mergeCell ref="O5:P6"/>
    <mergeCell ref="M18:N18"/>
    <mergeCell ref="O18:P18"/>
    <mergeCell ref="M3:M4"/>
    <mergeCell ref="N3:N4"/>
    <mergeCell ref="K3:K4"/>
    <mergeCell ref="L3:L4"/>
    <mergeCell ref="N25:Q26"/>
    <mergeCell ref="A1:B6"/>
    <mergeCell ref="D2:D4"/>
    <mergeCell ref="E2:F2"/>
    <mergeCell ref="G2:H2"/>
    <mergeCell ref="I2:J2"/>
    <mergeCell ref="H5:H6"/>
    <mergeCell ref="I5:I6"/>
    <mergeCell ref="J5:J6"/>
    <mergeCell ref="E3:E4"/>
    <mergeCell ref="F3:F4"/>
    <mergeCell ref="G3:G4"/>
    <mergeCell ref="A8:C8"/>
    <mergeCell ref="M8:N8"/>
    <mergeCell ref="O8:P8"/>
    <mergeCell ref="D5:D6"/>
    <mergeCell ref="H3:H4"/>
    <mergeCell ref="I3:I4"/>
    <mergeCell ref="O3:O4"/>
    <mergeCell ref="P3:P4"/>
    <mergeCell ref="A7:C7"/>
    <mergeCell ref="M7:N7"/>
    <mergeCell ref="O7:P7"/>
    <mergeCell ref="E5:E6"/>
    <mergeCell ref="F5:F6"/>
    <mergeCell ref="G5:G6"/>
    <mergeCell ref="C2:C6"/>
    <mergeCell ref="J3:J4"/>
    <mergeCell ref="A9:C9"/>
    <mergeCell ref="M9:N9"/>
    <mergeCell ref="O9:P9"/>
    <mergeCell ref="A10:C10"/>
    <mergeCell ref="M10:N10"/>
    <mergeCell ref="O10:P10"/>
    <mergeCell ref="A11:C11"/>
    <mergeCell ref="M11:N11"/>
    <mergeCell ref="O11:P11"/>
    <mergeCell ref="A12:C12"/>
    <mergeCell ref="M12:N12"/>
    <mergeCell ref="O12:P12"/>
    <mergeCell ref="A13:C13"/>
    <mergeCell ref="M13:N13"/>
    <mergeCell ref="O13:P13"/>
    <mergeCell ref="A14:C14"/>
    <mergeCell ref="M14:N14"/>
    <mergeCell ref="O14:P14"/>
    <mergeCell ref="A17:C17"/>
    <mergeCell ref="M17:N17"/>
    <mergeCell ref="O17:P17"/>
    <mergeCell ref="A15:C15"/>
    <mergeCell ref="A16:C16"/>
    <mergeCell ref="M15:N15"/>
    <mergeCell ref="M16:N16"/>
    <mergeCell ref="O15:P15"/>
    <mergeCell ref="O16:P16"/>
    <mergeCell ref="V2:V6"/>
    <mergeCell ref="T23:T24"/>
    <mergeCell ref="U2:U6"/>
    <mergeCell ref="R2:R5"/>
    <mergeCell ref="S2:S6"/>
    <mergeCell ref="T2:T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18</vt:i4>
      </vt:variant>
    </vt:vector>
  </HeadingPairs>
  <TitlesOfParts>
    <vt:vector size="21" baseType="lpstr">
      <vt:lpstr>SPORT S1 + S3 základní</vt:lpstr>
      <vt:lpstr>SPORT S2</vt:lpstr>
      <vt:lpstr>SPORT S3 nadstavba</vt:lpstr>
      <vt:lpstr>_BOD1</vt:lpstr>
      <vt:lpstr>BODČ</vt:lpstr>
      <vt:lpstr>celkemčlen</vt:lpstr>
      <vt:lpstr>celkemdeti</vt:lpstr>
      <vt:lpstr>celkemtrener</vt:lpstr>
      <vt:lpstr>čLENN</vt:lpstr>
      <vt:lpstr>členovéstrop</vt:lpstr>
      <vt:lpstr>deti</vt:lpstr>
      <vt:lpstr>detiS3</vt:lpstr>
      <vt:lpstr>koef</vt:lpstr>
      <vt:lpstr>strop</vt:lpstr>
      <vt:lpstr>suma</vt:lpstr>
      <vt:lpstr>sumadetiS3</vt:lpstr>
      <vt:lpstr>sumaS3</vt:lpstr>
      <vt:lpstr>sumatrenerS3</vt:lpstr>
      <vt:lpstr>TRENER</vt:lpstr>
      <vt:lpstr>treneriS3</vt:lpstr>
      <vt:lpstr>Zůstatek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Zahradník</dc:creator>
  <cp:lastModifiedBy>Jiskrová Lenka</cp:lastModifiedBy>
  <cp:lastPrinted>2021-11-24T07:26:58Z</cp:lastPrinted>
  <dcterms:created xsi:type="dcterms:W3CDTF">2005-01-13T20:15:08Z</dcterms:created>
  <dcterms:modified xsi:type="dcterms:W3CDTF">2021-11-25T07:27:37Z</dcterms:modified>
</cp:coreProperties>
</file>