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lavkovaA\Documents\FV_MMO_2022\final_2022\"/>
    </mc:Choice>
  </mc:AlternateContent>
  <bookViews>
    <workbookView xWindow="0" yWindow="0" windowWidth="28800" windowHeight="12135"/>
  </bookViews>
  <sheets>
    <sheet name="Kompenzace SMO" sheetId="6" r:id="rId1"/>
    <sheet name="výchozí model (T + A)" sheetId="10" r:id="rId2"/>
    <sheet name="výchozí model T" sheetId="1" r:id="rId3"/>
    <sheet name="výchozí model A" sheetId="2" r:id="rId4"/>
    <sheet name="změna výkonu " sheetId="8" r:id="rId5"/>
    <sheet name="index bazický" sheetId="5" r:id="rId6"/>
    <sheet name="index mzdy" sheetId="3" r:id="rId7"/>
    <sheet name="index PHM a energie" sheetId="4" r:id="rId8"/>
    <sheet name="Provozní aktiva A+T" sheetId="16" r:id="rId9"/>
  </sheets>
  <definedNames>
    <definedName name="_xlnm.Print_Area" localSheetId="0">'Kompenzace SMO'!$B$13:$L$22</definedName>
    <definedName name="_xlnm.Print_Area" localSheetId="1">'výchozí model (T + A)'!$B$1:$L$37</definedName>
    <definedName name="_xlnm.Print_Area" localSheetId="3">'výchozí model A'!$A$1:$I$37</definedName>
    <definedName name="_xlnm.Print_Area" localSheetId="2">'výchozí model T'!$A$1:$I$36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0" l="1"/>
  <c r="G32" i="10"/>
  <c r="H29" i="1"/>
  <c r="F29" i="1"/>
  <c r="H30" i="2"/>
  <c r="F30" i="2"/>
  <c r="D64" i="16"/>
  <c r="D63" i="16"/>
  <c r="G60" i="16"/>
  <c r="F60" i="16"/>
  <c r="F64" i="16" s="1"/>
  <c r="E60" i="16"/>
  <c r="D60" i="16"/>
  <c r="G56" i="16"/>
  <c r="F56" i="16"/>
  <c r="E56" i="16"/>
  <c r="D56" i="16"/>
  <c r="F49" i="16"/>
  <c r="F50" i="16" s="1"/>
  <c r="G46" i="16"/>
  <c r="G45" i="16"/>
  <c r="G44" i="16"/>
  <c r="G43" i="16"/>
  <c r="G42" i="16"/>
  <c r="G41" i="16"/>
  <c r="G40" i="16"/>
  <c r="G39" i="16"/>
  <c r="E49" i="16"/>
  <c r="D49" i="16"/>
  <c r="F36" i="16"/>
  <c r="D36" i="16"/>
  <c r="G34" i="16"/>
  <c r="G33" i="16"/>
  <c r="G32" i="16"/>
  <c r="G31" i="16"/>
  <c r="G30" i="16"/>
  <c r="G29" i="16"/>
  <c r="F25" i="16"/>
  <c r="G24" i="16"/>
  <c r="G23" i="16"/>
  <c r="G22" i="16"/>
  <c r="G21" i="16"/>
  <c r="G20" i="16"/>
  <c r="G18" i="16"/>
  <c r="G17" i="16"/>
  <c r="G16" i="16"/>
  <c r="G15" i="16"/>
  <c r="E25" i="16"/>
  <c r="G14" i="16"/>
  <c r="G10" i="16"/>
  <c r="G63" i="16" s="1"/>
  <c r="F10" i="16"/>
  <c r="F63" i="16" s="1"/>
  <c r="F65" i="16" s="1"/>
  <c r="G69" i="16" s="1"/>
  <c r="D10" i="16"/>
  <c r="E10" i="16"/>
  <c r="F36" i="2"/>
  <c r="F35" i="1"/>
  <c r="N9" i="8"/>
  <c r="F9" i="8"/>
  <c r="N12" i="8"/>
  <c r="F12" i="8"/>
  <c r="G25" i="16" l="1"/>
  <c r="E26" i="16"/>
  <c r="D50" i="16"/>
  <c r="E11" i="16"/>
  <c r="E63" i="16"/>
  <c r="D11" i="16"/>
  <c r="G11" i="16" s="1"/>
  <c r="F26" i="16"/>
  <c r="G49" i="16"/>
  <c r="D25" i="16"/>
  <c r="D26" i="16" s="1"/>
  <c r="G26" i="16" s="1"/>
  <c r="G35" i="16"/>
  <c r="G36" i="16" s="1"/>
  <c r="G64" i="16" s="1"/>
  <c r="G65" i="16" s="1"/>
  <c r="F11" i="16"/>
  <c r="E36" i="16"/>
  <c r="E50" i="16" s="1"/>
  <c r="E64" i="16" l="1"/>
  <c r="E69" i="16" s="1"/>
  <c r="D68" i="16"/>
  <c r="E68" i="16"/>
  <c r="D69" i="16"/>
  <c r="F69" i="16" s="1"/>
  <c r="G50" i="16"/>
  <c r="E70" i="16" l="1"/>
  <c r="E72" i="16" s="1"/>
  <c r="E65" i="16"/>
  <c r="F68" i="16"/>
  <c r="F70" i="16" s="1"/>
  <c r="D70" i="16"/>
  <c r="D72" i="16" s="1"/>
  <c r="D65" i="16"/>
  <c r="F22" i="8"/>
  <c r="F72" i="16" l="1"/>
  <c r="G68" i="16"/>
  <c r="G70" i="16" s="1"/>
  <c r="K30" i="10"/>
  <c r="G30" i="10"/>
  <c r="E21" i="4" l="1"/>
  <c r="E20" i="4"/>
  <c r="C9" i="5"/>
  <c r="F10" i="8" l="1"/>
  <c r="B31" i="4"/>
  <c r="N10" i="8" l="1"/>
  <c r="F20" i="4" l="1"/>
  <c r="F22" i="4" s="1"/>
  <c r="E37" i="10" a="1"/>
  <c r="E37" i="10" s="1"/>
  <c r="E31" i="10"/>
  <c r="E30" i="10"/>
  <c r="E28" i="10"/>
  <c r="E27" i="10"/>
  <c r="E26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G37" i="10" l="1" a="1"/>
  <c r="G37" i="10" s="1"/>
  <c r="E25" i="10"/>
  <c r="F9" i="2"/>
  <c r="F26" i="10"/>
  <c r="E29" i="10"/>
  <c r="F22" i="10"/>
  <c r="F20" i="10"/>
  <c r="F27" i="10"/>
  <c r="F11" i="10"/>
  <c r="F28" i="10"/>
  <c r="F17" i="10"/>
  <c r="F14" i="10"/>
  <c r="F16" i="10"/>
  <c r="F18" i="10"/>
  <c r="F12" i="10"/>
  <c r="F30" i="10"/>
  <c r="F24" i="10"/>
  <c r="F19" i="10"/>
  <c r="F10" i="10"/>
  <c r="F13" i="10"/>
  <c r="F21" i="10"/>
  <c r="F31" i="10"/>
  <c r="F15" i="10"/>
  <c r="F23" i="10"/>
  <c r="F9" i="10"/>
  <c r="E32" i="10" l="1"/>
  <c r="F32" i="10" s="1"/>
  <c r="F29" i="10"/>
  <c r="F25" i="10"/>
  <c r="F31" i="2"/>
  <c r="H31" i="2"/>
  <c r="F30" i="1" l="1"/>
  <c r="G31" i="10" s="1"/>
  <c r="C18" i="6" s="1"/>
  <c r="H30" i="10"/>
  <c r="H30" i="1"/>
  <c r="K31" i="10" s="1"/>
  <c r="C10" i="6" s="1"/>
  <c r="H35" i="1"/>
  <c r="H36" i="2"/>
  <c r="K37" i="10" l="1" a="1"/>
  <c r="K37" i="10" s="1"/>
  <c r="L31" i="10" s="1"/>
  <c r="I30" i="1"/>
  <c r="H31" i="10"/>
  <c r="G30" i="1"/>
  <c r="N13" i="8"/>
  <c r="F13" i="8"/>
  <c r="L30" i="10" l="1"/>
  <c r="J16" i="8"/>
  <c r="J15" i="8" l="1"/>
  <c r="B17" i="8" l="1"/>
  <c r="B16" i="8" l="1"/>
  <c r="B1" i="8"/>
  <c r="F1" i="8" s="1"/>
  <c r="B15" i="8"/>
  <c r="J17" i="8" l="1"/>
  <c r="L6" i="8" l="1"/>
  <c r="D6" i="8"/>
  <c r="F27" i="2" l="1"/>
  <c r="H27" i="2" s="1"/>
  <c r="F22" i="2"/>
  <c r="H22" i="2" s="1"/>
  <c r="F10" i="1"/>
  <c r="F19" i="2"/>
  <c r="F26" i="1"/>
  <c r="H26" i="1" s="1"/>
  <c r="F14" i="1"/>
  <c r="F19" i="1"/>
  <c r="F17" i="2"/>
  <c r="F21" i="2"/>
  <c r="F13" i="2"/>
  <c r="F20" i="1"/>
  <c r="H20" i="1" s="1"/>
  <c r="G19" i="1" l="1"/>
  <c r="H21" i="2"/>
  <c r="H17" i="2"/>
  <c r="I17" i="2" s="1"/>
  <c r="G17" i="2"/>
  <c r="H19" i="2"/>
  <c r="G19" i="10"/>
  <c r="H19" i="10" s="1"/>
  <c r="G19" i="2"/>
  <c r="G21" i="10"/>
  <c r="H21" i="10" s="1"/>
  <c r="G20" i="1"/>
  <c r="G10" i="1"/>
  <c r="H13" i="2"/>
  <c r="I13" i="2" s="1"/>
  <c r="G13" i="2"/>
  <c r="G13" i="10"/>
  <c r="H13" i="10" s="1"/>
  <c r="G14" i="1"/>
  <c r="G27" i="10"/>
  <c r="H27" i="10" s="1"/>
  <c r="G26" i="1"/>
  <c r="I27" i="2"/>
  <c r="G27" i="2"/>
  <c r="H10" i="1"/>
  <c r="H14" i="1"/>
  <c r="H19" i="1"/>
  <c r="I19" i="1" s="1"/>
  <c r="I26" i="1" l="1"/>
  <c r="K27" i="10"/>
  <c r="L27" i="10" s="1"/>
  <c r="I20" i="1"/>
  <c r="K21" i="10"/>
  <c r="L21" i="10" s="1"/>
  <c r="I19" i="2"/>
  <c r="K19" i="10"/>
  <c r="L19" i="10" s="1"/>
  <c r="I14" i="1"/>
  <c r="K13" i="10"/>
  <c r="L13" i="10" s="1"/>
  <c r="I10" i="1"/>
  <c r="B20" i="3"/>
  <c r="B11" i="3"/>
  <c r="C22" i="3" s="1"/>
  <c r="F28" i="2"/>
  <c r="F26" i="2"/>
  <c r="H26" i="2" s="1"/>
  <c r="F24" i="2"/>
  <c r="F23" i="2"/>
  <c r="F20" i="2"/>
  <c r="F18" i="2"/>
  <c r="F16" i="2"/>
  <c r="F12" i="2"/>
  <c r="F11" i="2"/>
  <c r="F10" i="2"/>
  <c r="E28" i="2"/>
  <c r="E10" i="1"/>
  <c r="F27" i="1"/>
  <c r="H27" i="1" s="1"/>
  <c r="F25" i="1"/>
  <c r="H25" i="1" s="1"/>
  <c r="F23" i="1"/>
  <c r="F22" i="1"/>
  <c r="F21" i="1"/>
  <c r="H21" i="1" s="1"/>
  <c r="F18" i="1"/>
  <c r="F17" i="1"/>
  <c r="F13" i="1"/>
  <c r="H13" i="1" s="1"/>
  <c r="F12" i="1"/>
  <c r="F11" i="1"/>
  <c r="F9" i="1"/>
  <c r="F15" i="1" l="1"/>
  <c r="H15" i="1" s="1"/>
  <c r="F14" i="2"/>
  <c r="H14" i="2" s="1"/>
  <c r="I14" i="2" s="1"/>
  <c r="I13" i="1"/>
  <c r="G26" i="2"/>
  <c r="G9" i="1"/>
  <c r="G9" i="10"/>
  <c r="H9" i="2"/>
  <c r="G9" i="2"/>
  <c r="G15" i="1"/>
  <c r="G22" i="10"/>
  <c r="G21" i="1"/>
  <c r="G28" i="10"/>
  <c r="G27" i="1"/>
  <c r="H12" i="2"/>
  <c r="I12" i="2" s="1"/>
  <c r="G12" i="2"/>
  <c r="H18" i="2"/>
  <c r="G18" i="10"/>
  <c r="G18" i="2"/>
  <c r="G10" i="10"/>
  <c r="I10" i="10" s="1"/>
  <c r="G11" i="1"/>
  <c r="H22" i="1"/>
  <c r="G23" i="10"/>
  <c r="G22" i="1"/>
  <c r="G14" i="2"/>
  <c r="H20" i="2"/>
  <c r="G20" i="10"/>
  <c r="G20" i="2"/>
  <c r="H28" i="2"/>
  <c r="I28" i="2" s="1"/>
  <c r="G28" i="2"/>
  <c r="G11" i="10"/>
  <c r="G12" i="1"/>
  <c r="G16" i="10"/>
  <c r="G17" i="1"/>
  <c r="G24" i="10"/>
  <c r="G23" i="1"/>
  <c r="H10" i="2"/>
  <c r="I10" i="2" s="1"/>
  <c r="G10" i="2"/>
  <c r="H23" i="2"/>
  <c r="I23" i="2" s="1"/>
  <c r="G23" i="2"/>
  <c r="G12" i="10"/>
  <c r="G13" i="1"/>
  <c r="G17" i="10"/>
  <c r="G18" i="1"/>
  <c r="G26" i="10"/>
  <c r="I26" i="10" s="1"/>
  <c r="G25" i="1"/>
  <c r="H11" i="2"/>
  <c r="I11" i="2" s="1"/>
  <c r="G11" i="2"/>
  <c r="H16" i="2"/>
  <c r="I16" i="2" s="1"/>
  <c r="G16" i="2"/>
  <c r="H24" i="2"/>
  <c r="I24" i="2" s="1"/>
  <c r="G24" i="2"/>
  <c r="H18" i="1"/>
  <c r="H9" i="1"/>
  <c r="H11" i="1"/>
  <c r="H12" i="1"/>
  <c r="H17" i="1"/>
  <c r="H23" i="1"/>
  <c r="F29" i="2"/>
  <c r="G29" i="2" s="1"/>
  <c r="I26" i="2"/>
  <c r="E20" i="2"/>
  <c r="F16" i="1"/>
  <c r="F15" i="2"/>
  <c r="F28" i="1"/>
  <c r="G28" i="1" s="1"/>
  <c r="E19" i="1"/>
  <c r="E15" i="1"/>
  <c r="E27" i="1"/>
  <c r="E20" i="1"/>
  <c r="E16" i="1"/>
  <c r="E12" i="1"/>
  <c r="E23" i="1"/>
  <c r="E11" i="1"/>
  <c r="E26" i="1"/>
  <c r="E22" i="1"/>
  <c r="E18" i="1"/>
  <c r="E14" i="1"/>
  <c r="E9" i="1"/>
  <c r="E25" i="1"/>
  <c r="E21" i="1"/>
  <c r="E17" i="1"/>
  <c r="E13" i="1"/>
  <c r="E13" i="2"/>
  <c r="E12" i="2"/>
  <c r="E19" i="2"/>
  <c r="E25" i="2"/>
  <c r="E11" i="2"/>
  <c r="E15" i="2"/>
  <c r="E10" i="2"/>
  <c r="E16" i="2"/>
  <c r="E24" i="2"/>
  <c r="E23" i="2"/>
  <c r="E17" i="2"/>
  <c r="E29" i="2"/>
  <c r="E9" i="2"/>
  <c r="E18" i="2"/>
  <c r="E27" i="2"/>
  <c r="E14" i="2"/>
  <c r="E26" i="2"/>
  <c r="E28" i="1"/>
  <c r="I9" i="2" l="1"/>
  <c r="G14" i="10"/>
  <c r="H14" i="10" s="1"/>
  <c r="H18" i="10"/>
  <c r="I18" i="10"/>
  <c r="H11" i="10"/>
  <c r="I11" i="10"/>
  <c r="H23" i="10"/>
  <c r="I23" i="10"/>
  <c r="H9" i="10"/>
  <c r="I9" i="10"/>
  <c r="H12" i="10"/>
  <c r="I12" i="10"/>
  <c r="H28" i="10"/>
  <c r="I28" i="10"/>
  <c r="H17" i="10"/>
  <c r="I17" i="10"/>
  <c r="H24" i="10"/>
  <c r="I24" i="10"/>
  <c r="H20" i="10"/>
  <c r="I20" i="10"/>
  <c r="H16" i="10"/>
  <c r="I16" i="10"/>
  <c r="H22" i="10"/>
  <c r="I22" i="10"/>
  <c r="G15" i="2"/>
  <c r="I15" i="1"/>
  <c r="K14" i="10"/>
  <c r="L14" i="10" s="1"/>
  <c r="I9" i="1"/>
  <c r="K9" i="10"/>
  <c r="I23" i="1"/>
  <c r="K24" i="10"/>
  <c r="L24" i="10" s="1"/>
  <c r="I17" i="1"/>
  <c r="K16" i="10"/>
  <c r="L16" i="10" s="1"/>
  <c r="I12" i="1"/>
  <c r="K11" i="10"/>
  <c r="L11" i="10" s="1"/>
  <c r="I11" i="1"/>
  <c r="K10" i="10"/>
  <c r="I20" i="2"/>
  <c r="K20" i="10"/>
  <c r="L20" i="10" s="1"/>
  <c r="I18" i="2"/>
  <c r="K18" i="10"/>
  <c r="L18" i="10" s="1"/>
  <c r="I27" i="1"/>
  <c r="K28" i="10"/>
  <c r="L28" i="10" s="1"/>
  <c r="I18" i="1"/>
  <c r="K17" i="10"/>
  <c r="L17" i="10" s="1"/>
  <c r="I22" i="1"/>
  <c r="K23" i="10"/>
  <c r="L23" i="10" s="1"/>
  <c r="K12" i="10"/>
  <c r="L12" i="10" s="1"/>
  <c r="K26" i="10"/>
  <c r="I21" i="1"/>
  <c r="K22" i="10"/>
  <c r="L22" i="10" s="1"/>
  <c r="G15" i="10"/>
  <c r="G16" i="1"/>
  <c r="H28" i="1"/>
  <c r="I28" i="1" s="1"/>
  <c r="I25" i="1"/>
  <c r="H26" i="10"/>
  <c r="G29" i="10"/>
  <c r="H10" i="10"/>
  <c r="H29" i="2"/>
  <c r="I29" i="2" s="1"/>
  <c r="F25" i="2"/>
  <c r="G25" i="2" s="1"/>
  <c r="H15" i="2"/>
  <c r="I15" i="2" s="1"/>
  <c r="F24" i="1"/>
  <c r="G24" i="1" s="1"/>
  <c r="H16" i="1"/>
  <c r="E31" i="1"/>
  <c r="E24" i="1"/>
  <c r="E32" i="2"/>
  <c r="I14" i="10" l="1"/>
  <c r="L9" i="10"/>
  <c r="H15" i="10"/>
  <c r="H25" i="10" s="1"/>
  <c r="I15" i="10"/>
  <c r="H29" i="10"/>
  <c r="K15" i="10"/>
  <c r="L15" i="10" s="1"/>
  <c r="G25" i="10"/>
  <c r="H32" i="10" s="1"/>
  <c r="L10" i="10"/>
  <c r="K29" i="10"/>
  <c r="L29" i="10" s="1"/>
  <c r="L26" i="10"/>
  <c r="H24" i="1"/>
  <c r="I24" i="1" s="1"/>
  <c r="I16" i="1"/>
  <c r="C16" i="6"/>
  <c r="F31" i="1"/>
  <c r="G31" i="1" s="1"/>
  <c r="H25" i="2"/>
  <c r="I25" i="2" s="1"/>
  <c r="F32" i="2"/>
  <c r="G32" i="2" s="1"/>
  <c r="C15" i="6"/>
  <c r="K25" i="10" l="1"/>
  <c r="H31" i="1"/>
  <c r="C8" i="6"/>
  <c r="C17" i="6"/>
  <c r="C19" i="6" s="1"/>
  <c r="H32" i="2"/>
  <c r="C7" i="6"/>
  <c r="I31" i="1" l="1"/>
  <c r="I32" i="2"/>
  <c r="L32" i="10"/>
  <c r="L25" i="10"/>
  <c r="C9" i="6"/>
  <c r="C11" i="6" l="1"/>
  <c r="L37" i="10"/>
  <c r="H37" i="10"/>
  <c r="F37" i="10"/>
</calcChain>
</file>

<file path=xl/comments1.xml><?xml version="1.0" encoding="utf-8"?>
<comments xmlns="http://schemas.openxmlformats.org/spreadsheetml/2006/main">
  <authors>
    <author>Marta Matyšková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Marta Matyšková:</t>
        </r>
        <r>
          <rPr>
            <sz val="9"/>
            <color indexed="81"/>
            <rFont val="Tahoma"/>
            <family val="2"/>
            <charset val="238"/>
          </rPr>
          <t xml:space="preserve">
od 1.7.2019</t>
        </r>
      </text>
    </comment>
  </commentList>
</comments>
</file>

<file path=xl/comments2.xml><?xml version="1.0" encoding="utf-8"?>
<comments xmlns="http://schemas.openxmlformats.org/spreadsheetml/2006/main">
  <authors>
    <author>Libuše Vodičková</author>
  </authors>
  <commentList>
    <comment ref="F29" authorId="0" shapeId="0">
      <text>
        <r>
          <rPr>
            <b/>
            <sz val="9"/>
            <color indexed="81"/>
            <rFont val="Tahoma"/>
            <family val="2"/>
            <charset val="238"/>
          </rPr>
          <t>VDL - zájezdový autobus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38"/>
          </rPr>
          <t>TESCO BUS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38"/>
          </rPr>
          <t>SENIOR TAXI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<sst xmlns="http://schemas.openxmlformats.org/spreadsheetml/2006/main" count="369" uniqueCount="216">
  <si>
    <t>Dopravce:      Městský dopravní podnik Opava, a.s.</t>
  </si>
  <si>
    <t>Objednatel:    Statutární město Opava</t>
  </si>
  <si>
    <t>Výkaz nákladů a výnosů</t>
  </si>
  <si>
    <t>řádek</t>
  </si>
  <si>
    <t>Trakční energie a palivo</t>
  </si>
  <si>
    <t>Netrakční energie a palivo</t>
  </si>
  <si>
    <t>Přímý materiál</t>
  </si>
  <si>
    <t>Opravy a údržba vozidel</t>
  </si>
  <si>
    <t>Odpisy dlouhodobého majetku</t>
  </si>
  <si>
    <t>Pronájem a leasing vozidel</t>
  </si>
  <si>
    <t>Mzdové náklady</t>
  </si>
  <si>
    <t xml:space="preserve">Sociální a zdravotní pojištění </t>
  </si>
  <si>
    <t>Cestovné</t>
  </si>
  <si>
    <t>Úhrada za použití dopraní cesty</t>
  </si>
  <si>
    <t>Úhrada za použití ostatní infrastruktury</t>
  </si>
  <si>
    <t>Ostatní přímé náklady</t>
  </si>
  <si>
    <t xml:space="preserve">Ostatní služby </t>
  </si>
  <si>
    <t>Provozní režie</t>
  </si>
  <si>
    <t>Správní režie</t>
  </si>
  <si>
    <t xml:space="preserve">Tržby z jízdného </t>
  </si>
  <si>
    <t xml:space="preserve">Ostatní tržby z přepravy </t>
  </si>
  <si>
    <t>Ostatní výnosy</t>
  </si>
  <si>
    <t>Hodnota provozních aktiv **</t>
  </si>
  <si>
    <t>Čistý příjem</t>
  </si>
  <si>
    <t>Kompenzace (ř.16 - ř.20 + ř.22)</t>
  </si>
  <si>
    <t>Dotace na pořízení a modernizaci vozidel</t>
  </si>
  <si>
    <t>Jiné dotace</t>
  </si>
  <si>
    <t>Uskutečněný dopravní výkon (vlkm/vozokm)*</t>
  </si>
  <si>
    <t>Ostatní výkony: přístavné, odstavné, přejezdové (vlkm/vozokm)*</t>
  </si>
  <si>
    <t>Výchozí finanční model (veřejná osobní drážní doprava)</t>
  </si>
  <si>
    <t>Výchozí náklady</t>
  </si>
  <si>
    <t>v tis.Kč</t>
  </si>
  <si>
    <t>trolejbusy</t>
  </si>
  <si>
    <t>Výchozí náklady celkem (řádek 1 až 15)</t>
  </si>
  <si>
    <t>autobusy</t>
  </si>
  <si>
    <t>Výchozí finanční model (veřejná linková doprava)</t>
  </si>
  <si>
    <t>Výchozí výnosy</t>
  </si>
  <si>
    <t>Výchozí výnosy celkem (řádek 17 až 19)</t>
  </si>
  <si>
    <t>Pohonné hmoty a oleje</t>
  </si>
  <si>
    <t>Přímý materiál a energie</t>
  </si>
  <si>
    <t>Úhrada za použití infrastruktury</t>
  </si>
  <si>
    <t>Silniční daň</t>
  </si>
  <si>
    <t>Elektronické mýto</t>
  </si>
  <si>
    <t>Pojištění (zákonné, havarijní)</t>
  </si>
  <si>
    <t>Ostatní služby</t>
  </si>
  <si>
    <t>Výchozí náklady celkem (řádek 1 až 16)</t>
  </si>
  <si>
    <t>Výchozí výnosy celkem (řádek 18 až 20)</t>
  </si>
  <si>
    <t>Mzdové náklady dle vývoje průměrné hrubé měsíční mzdy na přepočtené počty zaměstnanců v odvětví dopravy a skladování</t>
  </si>
  <si>
    <t>Odkazy:</t>
  </si>
  <si>
    <t>2Q 2018</t>
  </si>
  <si>
    <t>Čtvrtletí</t>
  </si>
  <si>
    <t>Prům.mzda</t>
  </si>
  <si>
    <t>index</t>
  </si>
  <si>
    <t>Sociální a zdravotní pojištění</t>
  </si>
  <si>
    <t>v %</t>
  </si>
  <si>
    <t>rok</t>
  </si>
  <si>
    <t>dopad změny sazby</t>
  </si>
  <si>
    <t>výsledný index</t>
  </si>
  <si>
    <t>https://portal.pohoda.cz/dane-ucetnictvi-mzdy/mzdy-a-prace/cestovni-nahrady-v-roce-2018/</t>
  </si>
  <si>
    <t>odkazy</t>
  </si>
  <si>
    <t>Průměrná cena motorové nafty v Kč/litr</t>
  </si>
  <si>
    <t>rok 2018</t>
  </si>
  <si>
    <t>A2</t>
  </si>
  <si>
    <t>A1</t>
  </si>
  <si>
    <t>Průměrná cena zemního plynu v Kč/MWh za dodávky pro průmysl</t>
  </si>
  <si>
    <t>B2</t>
  </si>
  <si>
    <t>B1</t>
  </si>
  <si>
    <t>odkaz</t>
  </si>
  <si>
    <t>k</t>
  </si>
  <si>
    <t>koeficient</t>
  </si>
  <si>
    <t>MWh/l</t>
  </si>
  <si>
    <t>q</t>
  </si>
  <si>
    <t xml:space="preserve">i = </t>
  </si>
  <si>
    <t>A2 + k*q*B2</t>
  </si>
  <si>
    <t>A1 + k*q*B1</t>
  </si>
  <si>
    <t>index i</t>
  </si>
  <si>
    <t>zdroj</t>
  </si>
  <si>
    <t>Průměrná cena elektřiny za dodávky pro průmysl v pásmu ID</t>
  </si>
  <si>
    <t>Bazický index spotřebitelských cen</t>
  </si>
  <si>
    <t>za červen 2018</t>
  </si>
  <si>
    <t>v tis. Kč</t>
  </si>
  <si>
    <t>Autobusy</t>
  </si>
  <si>
    <t>Trolejbusy</t>
  </si>
  <si>
    <t>1% provozních aktiv</t>
  </si>
  <si>
    <t>Kompenzace celkem</t>
  </si>
  <si>
    <t>Komp. s přim. ziskem</t>
  </si>
  <si>
    <t>poměr nového a výchozího dopravního výkonu trolejbusy</t>
  </si>
  <si>
    <t>w´ - nový dopravní výkon v km</t>
  </si>
  <si>
    <t>w - výchozí dopravní výkon v km</t>
  </si>
  <si>
    <t>poměr nového a výchozího dopravního výkonu autobusy</t>
  </si>
  <si>
    <t>poměr T</t>
  </si>
  <si>
    <t>poměr A</t>
  </si>
  <si>
    <t>celkový nový referenční dopravní výkon</t>
  </si>
  <si>
    <t>celkový původní referenční dopravní výkon</t>
  </si>
  <si>
    <t>w´c</t>
  </si>
  <si>
    <t>w c</t>
  </si>
  <si>
    <t>snížení dopravního výkonu  o</t>
  </si>
  <si>
    <t>původní dopravní výkon trolejbusu</t>
  </si>
  <si>
    <t>w t</t>
  </si>
  <si>
    <t>nový dopravní výkon trolejbusu</t>
  </si>
  <si>
    <t>w´t</t>
  </si>
  <si>
    <t>w´t/w´c</t>
  </si>
  <si>
    <t>w t/w c</t>
  </si>
  <si>
    <t>w´t/w t</t>
  </si>
  <si>
    <t>původní dopravní výkon autobusu</t>
  </si>
  <si>
    <t>nový dopravní výkon autobusu</t>
  </si>
  <si>
    <t>w a</t>
  </si>
  <si>
    <t>w´a</t>
  </si>
  <si>
    <t>w´a/w a</t>
  </si>
  <si>
    <t>w´a/w´c</t>
  </si>
  <si>
    <t>w a/w c</t>
  </si>
  <si>
    <t>účet</t>
  </si>
  <si>
    <t>T</t>
  </si>
  <si>
    <t>A</t>
  </si>
  <si>
    <t>Stavby</t>
  </si>
  <si>
    <t>021.021</t>
  </si>
  <si>
    <t>021.051</t>
  </si>
  <si>
    <t>021.052</t>
  </si>
  <si>
    <t>021.053</t>
  </si>
  <si>
    <t>021.054</t>
  </si>
  <si>
    <t>Vozy</t>
  </si>
  <si>
    <t>022.031</t>
  </si>
  <si>
    <t>022.032</t>
  </si>
  <si>
    <t>022.033</t>
  </si>
  <si>
    <t>022.034</t>
  </si>
  <si>
    <t>022.035</t>
  </si>
  <si>
    <t>Ostatní 022</t>
  </si>
  <si>
    <t>022.042</t>
  </si>
  <si>
    <t>022.043</t>
  </si>
  <si>
    <t>022.073</t>
  </si>
  <si>
    <t>022.775</t>
  </si>
  <si>
    <t>022 celkem</t>
  </si>
  <si>
    <t>Pozemky</t>
  </si>
  <si>
    <t>znak MO</t>
  </si>
  <si>
    <t>032.000</t>
  </si>
  <si>
    <t>Výchozí model 2019</t>
  </si>
  <si>
    <t>Kč/vlkm</t>
  </si>
  <si>
    <t>Výchozí finanční model (veřejná drážní a linková doprava)</t>
  </si>
  <si>
    <t>Výchozí finanční model</t>
  </si>
  <si>
    <t>Výchozí nákldady</t>
  </si>
  <si>
    <t>Pohonné hmoty a oleje / Trakční energie a palivo+Netrakční energie a palivo</t>
  </si>
  <si>
    <t>Úhrada za používání infrastruktury/ dopravní cesty</t>
  </si>
  <si>
    <t>Kompenzace (ř.17 - ř.21 + ř.23)</t>
  </si>
  <si>
    <t>Uskutečněný dopravní výkon (km)</t>
  </si>
  <si>
    <t>https://www.czso.cz/csu/czso/mira_inflace</t>
  </si>
  <si>
    <t>Celkem najeto méně km o</t>
  </si>
  <si>
    <t>mimo MHD</t>
  </si>
  <si>
    <t>Nehmotný majetek</t>
  </si>
  <si>
    <t>013.00</t>
  </si>
  <si>
    <t>013.01</t>
  </si>
  <si>
    <t>013.02</t>
  </si>
  <si>
    <t>013.03</t>
  </si>
  <si>
    <t>013.05</t>
  </si>
  <si>
    <t>Nehmotný v Kč</t>
  </si>
  <si>
    <t>Nehmotný v %</t>
  </si>
  <si>
    <t>021.00</t>
  </si>
  <si>
    <t>021.01</t>
  </si>
  <si>
    <t>021.02</t>
  </si>
  <si>
    <t>021.03</t>
  </si>
  <si>
    <t>021.04</t>
  </si>
  <si>
    <t>021.05</t>
  </si>
  <si>
    <t>Stavby v %</t>
  </si>
  <si>
    <t>022.02</t>
  </si>
  <si>
    <t>022.740</t>
  </si>
  <si>
    <t>022.01</t>
  </si>
  <si>
    <t>022.041</t>
  </si>
  <si>
    <t>022.06</t>
  </si>
  <si>
    <t>022.08</t>
  </si>
  <si>
    <t>022.09</t>
  </si>
  <si>
    <t>031.02</t>
  </si>
  <si>
    <t>031.03</t>
  </si>
  <si>
    <t>031.04</t>
  </si>
  <si>
    <t>Vše</t>
  </si>
  <si>
    <t>MHD</t>
  </si>
  <si>
    <t>celkem 2021</t>
  </si>
  <si>
    <t>1% provozních aktiv = přiměřený zisk</t>
  </si>
  <si>
    <t>S</t>
  </si>
  <si>
    <t>Optimalizace</t>
  </si>
  <si>
    <t>méně po optimalizaci</t>
  </si>
  <si>
    <t>% nárůst</t>
  </si>
  <si>
    <t>PHM</t>
  </si>
  <si>
    <t>bazický</t>
  </si>
  <si>
    <t>mzdový</t>
  </si>
  <si>
    <t>Zůstatková cena majetku 2022</t>
  </si>
  <si>
    <t>https://www.czso.cz/csu/czso/cri/prumerne-mzdy-2-ctvrtleti-2022</t>
  </si>
  <si>
    <t>S´</t>
  </si>
  <si>
    <t>S´/S</t>
  </si>
  <si>
    <t>původní délka trolejbusových tratí (délka provozní sítě = dráty)</t>
  </si>
  <si>
    <t>nová délka trolejbusových tratí (délka provozní sítě = dráty)</t>
  </si>
  <si>
    <t>T + A</t>
  </si>
  <si>
    <t>za červen 2021</t>
  </si>
  <si>
    <t>2Q 2021</t>
  </si>
  <si>
    <t>https://portal.pohoda.cz/dane-ucetnictvi-mzdy/mzdy-a-prace/cestovni-nahrady-v-roce-2021/</t>
  </si>
  <si>
    <t>rok 2021</t>
  </si>
  <si>
    <t>https://www.czso.cz/csu/czso/indexy-cen-prumyslovych-vyrobcu-cervenec-2021</t>
  </si>
  <si>
    <t>Čistá indexace na 2022</t>
  </si>
  <si>
    <t>nárůst cen za 3 roky (19-22)</t>
  </si>
  <si>
    <t>Kilometrová indexace na 2022</t>
  </si>
  <si>
    <t xml:space="preserve">Období:          2022 </t>
  </si>
  <si>
    <t>Období:          2022</t>
  </si>
  <si>
    <t>Nehmotný 2022</t>
  </si>
  <si>
    <t>Stavby 2022</t>
  </si>
  <si>
    <t>Vozy 2022</t>
  </si>
  <si>
    <t>Ostatní 2022</t>
  </si>
  <si>
    <t>Pozemky 2022</t>
  </si>
  <si>
    <t>Znak MO 2022</t>
  </si>
  <si>
    <t>Znak 2022</t>
  </si>
  <si>
    <t>ZC nehmotný 2022</t>
  </si>
  <si>
    <t>ZC hmotný 2022</t>
  </si>
  <si>
    <t>ZC celkem 2022</t>
  </si>
  <si>
    <t>Provozní A 2022</t>
  </si>
  <si>
    <t>Městský dopravní podnik Opava, a.s.</t>
  </si>
  <si>
    <t>Indexace 2022 - reálné km</t>
  </si>
  <si>
    <t>Indexace 2022 - čistá</t>
  </si>
  <si>
    <t>Indexace 2022 - plán</t>
  </si>
  <si>
    <t>Indexace 2022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</si>
</sst>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&quot;Kč&quot;"/>
    <numFmt numFmtId="166" formatCode="#,##0.0000"/>
    <numFmt numFmtId="167" formatCode="0.000"/>
  </numFmts>
  <fonts count="28">
    <font>
      <sz val="11"/>
      <color theme="1"/>
      <name val="Myriad Pr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Myriad Pro"/>
      <family val="2"/>
      <charset val="238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10"/>
      <name val="Myriad Pro"/>
      <family val="2"/>
    </font>
    <font>
      <sz val="10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b/>
      <sz val="12"/>
      <name val="Times New Roman"/>
      <family val="1"/>
      <charset val="238"/>
    </font>
    <font>
      <sz val="11"/>
      <name val="Myriad Pro"/>
      <family val="2"/>
    </font>
    <font>
      <sz val="10"/>
      <color theme="1"/>
      <name val="Myriad Pro"/>
      <family val="2"/>
    </font>
    <font>
      <b/>
      <sz val="10"/>
      <color theme="1"/>
      <name val="Myriad Pro"/>
      <family val="2"/>
    </font>
    <font>
      <sz val="8"/>
      <color theme="1"/>
      <name val="Myriad Pro"/>
      <family val="2"/>
      <charset val="238"/>
    </font>
    <font>
      <sz val="11"/>
      <color theme="8"/>
      <name val="Myriad Pro"/>
      <family val="2"/>
      <charset val="238"/>
    </font>
    <font>
      <sz val="11"/>
      <name val="Myriad Pro"/>
      <family val="2"/>
      <charset val="238"/>
    </font>
    <font>
      <sz val="11"/>
      <color theme="9"/>
      <name val="Myriad Pro"/>
      <family val="2"/>
      <charset val="238"/>
    </font>
    <font>
      <sz val="8"/>
      <name val="Myriad Pro"/>
      <family val="2"/>
      <charset val="238"/>
    </font>
    <font>
      <b/>
      <sz val="11"/>
      <color theme="1"/>
      <name val="Myriad Pro"/>
      <charset val="238"/>
    </font>
    <font>
      <b/>
      <sz val="14"/>
      <color theme="1"/>
      <name val="Myriad Pro"/>
      <charset val="238"/>
    </font>
    <font>
      <b/>
      <sz val="12"/>
      <color theme="1"/>
      <name val="Myriad Pro"/>
      <charset val="238"/>
    </font>
    <font>
      <sz val="10"/>
      <color theme="1"/>
      <name val="Myriad Pro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285">
    <xf numFmtId="0" fontId="0" fillId="0" borderId="0" xfId="0"/>
    <xf numFmtId="0" fontId="5" fillId="0" borderId="0" xfId="3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164" fontId="6" fillId="3" borderId="0" xfId="0" applyNumberFormat="1" applyFont="1" applyFill="1"/>
    <xf numFmtId="0" fontId="0" fillId="4" borderId="0" xfId="0" applyFill="1"/>
    <xf numFmtId="2" fontId="0" fillId="0" borderId="0" xfId="0" applyNumberFormat="1"/>
    <xf numFmtId="0" fontId="10" fillId="0" borderId="7" xfId="0" applyFont="1" applyBorder="1"/>
    <xf numFmtId="0" fontId="10" fillId="0" borderId="0" xfId="0" applyFont="1"/>
    <xf numFmtId="165" fontId="0" fillId="0" borderId="0" xfId="0" applyNumberFormat="1"/>
    <xf numFmtId="166" fontId="0" fillId="0" borderId="0" xfId="0" applyNumberFormat="1"/>
    <xf numFmtId="2" fontId="6" fillId="3" borderId="0" xfId="0" applyNumberFormat="1" applyFont="1" applyFill="1"/>
    <xf numFmtId="17" fontId="0" fillId="0" borderId="0" xfId="0" applyNumberFormat="1"/>
    <xf numFmtId="0" fontId="6" fillId="3" borderId="0" xfId="0" applyFont="1" applyFill="1"/>
    <xf numFmtId="0" fontId="0" fillId="0" borderId="10" xfId="0" applyBorder="1"/>
    <xf numFmtId="3" fontId="0" fillId="0" borderId="11" xfId="0" applyNumberFormat="1" applyBorder="1"/>
    <xf numFmtId="0" fontId="0" fillId="0" borderId="12" xfId="0" applyBorder="1"/>
    <xf numFmtId="3" fontId="0" fillId="0" borderId="13" xfId="0" applyNumberFormat="1" applyBorder="1"/>
    <xf numFmtId="0" fontId="0" fillId="0" borderId="14" xfId="0" applyBorder="1"/>
    <xf numFmtId="3" fontId="0" fillId="0" borderId="15" xfId="0" applyNumberFormat="1" applyBorder="1"/>
    <xf numFmtId="3" fontId="6" fillId="5" borderId="9" xfId="0" applyNumberFormat="1" applyFont="1" applyFill="1" applyBorder="1"/>
    <xf numFmtId="3" fontId="6" fillId="6" borderId="9" xfId="0" applyNumberFormat="1" applyFont="1" applyFill="1" applyBorder="1"/>
    <xf numFmtId="0" fontId="6" fillId="7" borderId="8" xfId="0" applyFont="1" applyFill="1" applyBorder="1"/>
    <xf numFmtId="3" fontId="0" fillId="0" borderId="0" xfId="0" applyNumberFormat="1"/>
    <xf numFmtId="0" fontId="0" fillId="0" borderId="1" xfId="0" applyBorder="1"/>
    <xf numFmtId="0" fontId="6" fillId="6" borderId="0" xfId="0" applyFont="1" applyFill="1"/>
    <xf numFmtId="0" fontId="0" fillId="6" borderId="0" xfId="0" applyFill="1"/>
    <xf numFmtId="3" fontId="0" fillId="2" borderId="1" xfId="0" applyNumberFormat="1" applyFill="1" applyBorder="1"/>
    <xf numFmtId="0" fontId="12" fillId="0" borderId="0" xfId="1" applyFont="1"/>
    <xf numFmtId="0" fontId="11" fillId="0" borderId="0" xfId="2" applyFont="1"/>
    <xf numFmtId="3" fontId="11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2" fillId="0" borderId="1" xfId="1" applyFont="1" applyBorder="1"/>
    <xf numFmtId="3" fontId="12" fillId="0" borderId="1" xfId="1" applyNumberFormat="1" applyFont="1" applyBorder="1"/>
    <xf numFmtId="4" fontId="12" fillId="0" borderId="1" xfId="1" applyNumberFormat="1" applyFont="1" applyBorder="1"/>
    <xf numFmtId="0" fontId="11" fillId="0" borderId="1" xfId="1" applyFont="1" applyBorder="1"/>
    <xf numFmtId="3" fontId="11" fillId="0" borderId="1" xfId="1" applyNumberFormat="1" applyFont="1" applyBorder="1"/>
    <xf numFmtId="0" fontId="12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4" fontId="11" fillId="2" borderId="1" xfId="1" applyNumberFormat="1" applyFont="1" applyFill="1" applyBorder="1"/>
    <xf numFmtId="3" fontId="11" fillId="2" borderId="1" xfId="1" applyNumberFormat="1" applyFont="1" applyFill="1" applyBorder="1"/>
    <xf numFmtId="3" fontId="12" fillId="2" borderId="1" xfId="1" applyNumberFormat="1" applyFont="1" applyFill="1" applyBorder="1"/>
    <xf numFmtId="4" fontId="11" fillId="0" borderId="1" xfId="1" applyNumberFormat="1" applyFont="1" applyBorder="1"/>
    <xf numFmtId="3" fontId="11" fillId="5" borderId="1" xfId="1" applyNumberFormat="1" applyFont="1" applyFill="1" applyBorder="1" applyAlignment="1">
      <alignment horizontal="center"/>
    </xf>
    <xf numFmtId="0" fontId="11" fillId="5" borderId="1" xfId="1" applyFont="1" applyFill="1" applyBorder="1" applyAlignment="1">
      <alignment horizontal="center"/>
    </xf>
    <xf numFmtId="3" fontId="11" fillId="10" borderId="1" xfId="1" applyNumberFormat="1" applyFont="1" applyFill="1" applyBorder="1" applyAlignment="1">
      <alignment horizontal="center"/>
    </xf>
    <xf numFmtId="0" fontId="11" fillId="10" borderId="1" xfId="1" applyFont="1" applyFill="1" applyBorder="1" applyAlignment="1">
      <alignment horizontal="center"/>
    </xf>
    <xf numFmtId="3" fontId="11" fillId="5" borderId="1" xfId="1" applyNumberFormat="1" applyFont="1" applyFill="1" applyBorder="1"/>
    <xf numFmtId="4" fontId="11" fillId="5" borderId="1" xfId="1" applyNumberFormat="1" applyFont="1" applyFill="1" applyBorder="1"/>
    <xf numFmtId="3" fontId="11" fillId="10" borderId="1" xfId="1" applyNumberFormat="1" applyFont="1" applyFill="1" applyBorder="1"/>
    <xf numFmtId="4" fontId="11" fillId="10" borderId="1" xfId="1" applyNumberFormat="1" applyFont="1" applyFill="1" applyBorder="1"/>
    <xf numFmtId="0" fontId="4" fillId="0" borderId="0" xfId="1" applyFont="1"/>
    <xf numFmtId="0" fontId="4" fillId="0" borderId="1" xfId="1" applyFont="1" applyBorder="1"/>
    <xf numFmtId="0" fontId="3" fillId="0" borderId="1" xfId="1" applyFont="1" applyBorder="1"/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/>
    </xf>
    <xf numFmtId="3" fontId="6" fillId="0" borderId="1" xfId="0" applyNumberFormat="1" applyFont="1" applyBorder="1"/>
    <xf numFmtId="3" fontId="6" fillId="6" borderId="0" xfId="0" applyNumberFormat="1" applyFont="1" applyFill="1"/>
    <xf numFmtId="167" fontId="6" fillId="3" borderId="0" xfId="0" applyNumberFormat="1" applyFont="1" applyFill="1"/>
    <xf numFmtId="0" fontId="16" fillId="0" borderId="0" xfId="1" applyFont="1"/>
    <xf numFmtId="3" fontId="17" fillId="0" borderId="1" xfId="0" applyNumberFormat="1" applyFont="1" applyBorder="1"/>
    <xf numFmtId="4" fontId="17" fillId="0" borderId="1" xfId="0" applyNumberFormat="1" applyFont="1" applyBorder="1"/>
    <xf numFmtId="3" fontId="18" fillId="0" borderId="1" xfId="0" applyNumberFormat="1" applyFont="1" applyBorder="1"/>
    <xf numFmtId="4" fontId="18" fillId="0" borderId="1" xfId="0" applyNumberFormat="1" applyFont="1" applyBorder="1"/>
    <xf numFmtId="3" fontId="18" fillId="2" borderId="1" xfId="0" applyNumberFormat="1" applyFont="1" applyFill="1" applyBorder="1"/>
    <xf numFmtId="4" fontId="17" fillId="2" borderId="1" xfId="0" applyNumberFormat="1" applyFont="1" applyFill="1" applyBorder="1"/>
    <xf numFmtId="3" fontId="18" fillId="5" borderId="1" xfId="0" applyNumberFormat="1" applyFont="1" applyFill="1" applyBorder="1"/>
    <xf numFmtId="4" fontId="18" fillId="5" borderId="1" xfId="0" applyNumberFormat="1" applyFont="1" applyFill="1" applyBorder="1"/>
    <xf numFmtId="3" fontId="18" fillId="10" borderId="1" xfId="0" applyNumberFormat="1" applyFont="1" applyFill="1" applyBorder="1"/>
    <xf numFmtId="4" fontId="18" fillId="10" borderId="1" xfId="0" applyNumberFormat="1" applyFont="1" applyFill="1" applyBorder="1"/>
    <xf numFmtId="0" fontId="17" fillId="0" borderId="1" xfId="0" applyFont="1" applyBorder="1"/>
    <xf numFmtId="0" fontId="0" fillId="0" borderId="0" xfId="0" applyAlignment="1">
      <alignment horizontal="center" vertical="center"/>
    </xf>
    <xf numFmtId="0" fontId="0" fillId="3" borderId="0" xfId="0" applyFill="1"/>
    <xf numFmtId="2" fontId="6" fillId="11" borderId="0" xfId="0" applyNumberFormat="1" applyFont="1" applyFill="1"/>
    <xf numFmtId="0" fontId="19" fillId="0" borderId="0" xfId="0" applyFont="1"/>
    <xf numFmtId="3" fontId="19" fillId="0" borderId="0" xfId="0" applyNumberFormat="1" applyFont="1"/>
    <xf numFmtId="3" fontId="12" fillId="6" borderId="1" xfId="1" applyNumberFormat="1" applyFont="1" applyFill="1" applyBorder="1"/>
    <xf numFmtId="10" fontId="0" fillId="0" borderId="1" xfId="0" applyNumberFormat="1" applyBorder="1"/>
    <xf numFmtId="10" fontId="20" fillId="0" borderId="1" xfId="0" applyNumberFormat="1" applyFont="1" applyBorder="1"/>
    <xf numFmtId="10" fontId="21" fillId="0" borderId="1" xfId="0" applyNumberFormat="1" applyFont="1" applyBorder="1"/>
    <xf numFmtId="10" fontId="22" fillId="0" borderId="1" xfId="0" applyNumberFormat="1" applyFont="1" applyBorder="1"/>
    <xf numFmtId="10" fontId="0" fillId="2" borderId="1" xfId="0" applyNumberFormat="1" applyFill="1" applyBorder="1"/>
    <xf numFmtId="3" fontId="12" fillId="5" borderId="1" xfId="1" applyNumberFormat="1" applyFont="1" applyFill="1" applyBorder="1"/>
    <xf numFmtId="3" fontId="12" fillId="13" borderId="1" xfId="1" applyNumberFormat="1" applyFont="1" applyFill="1" applyBorder="1"/>
    <xf numFmtId="0" fontId="24" fillId="0" borderId="0" xfId="0" applyFont="1"/>
    <xf numFmtId="0" fontId="24" fillId="3" borderId="0" xfId="0" applyFont="1" applyFill="1"/>
    <xf numFmtId="3" fontId="6" fillId="14" borderId="9" xfId="0" applyNumberFormat="1" applyFont="1" applyFill="1" applyBorder="1"/>
    <xf numFmtId="0" fontId="21" fillId="0" borderId="0" xfId="0" applyFont="1"/>
    <xf numFmtId="3" fontId="6" fillId="11" borderId="9" xfId="0" applyNumberFormat="1" applyFont="1" applyFill="1" applyBorder="1"/>
    <xf numFmtId="9" fontId="0" fillId="0" borderId="0" xfId="0" applyNumberFormat="1"/>
    <xf numFmtId="3" fontId="7" fillId="0" borderId="0" xfId="0" applyNumberFormat="1" applyFont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/>
    <xf numFmtId="0" fontId="3" fillId="0" borderId="0" xfId="0" applyFont="1"/>
    <xf numFmtId="0" fontId="27" fillId="0" borderId="0" xfId="0" applyFont="1"/>
    <xf numFmtId="0" fontId="3" fillId="0" borderId="20" xfId="0" applyFont="1" applyBorder="1"/>
    <xf numFmtId="0" fontId="4" fillId="0" borderId="20" xfId="0" applyFont="1" applyBorder="1"/>
    <xf numFmtId="0" fontId="4" fillId="3" borderId="29" xfId="0" applyFont="1" applyFill="1" applyBorder="1"/>
    <xf numFmtId="0" fontId="4" fillId="9" borderId="30" xfId="0" applyFont="1" applyFill="1" applyBorder="1"/>
    <xf numFmtId="0" fontId="4" fillId="7" borderId="31" xfId="0" applyFont="1" applyFill="1" applyBorder="1"/>
    <xf numFmtId="0" fontId="4" fillId="8" borderId="21" xfId="0" applyFont="1" applyFill="1" applyBorder="1"/>
    <xf numFmtId="0" fontId="4" fillId="5" borderId="32" xfId="0" applyFont="1" applyFill="1" applyBorder="1"/>
    <xf numFmtId="3" fontId="4" fillId="0" borderId="10" xfId="0" applyNumberFormat="1" applyFont="1" applyBorder="1"/>
    <xf numFmtId="3" fontId="4" fillId="0" borderId="41" xfId="0" applyNumberFormat="1" applyFont="1" applyBorder="1"/>
    <xf numFmtId="3" fontId="4" fillId="0" borderId="11" xfId="0" applyNumberFormat="1" applyFont="1" applyBorder="1"/>
    <xf numFmtId="3" fontId="4" fillId="11" borderId="47" xfId="0" applyNumberFormat="1" applyFont="1" applyFill="1" applyBorder="1"/>
    <xf numFmtId="0" fontId="4" fillId="5" borderId="34" xfId="0" applyFont="1" applyFill="1" applyBorder="1"/>
    <xf numFmtId="3" fontId="4" fillId="0" borderId="48" xfId="0" applyNumberFormat="1" applyFont="1" applyBorder="1"/>
    <xf numFmtId="3" fontId="4" fillId="0" borderId="1" xfId="0" applyNumberFormat="1" applyFont="1" applyBorder="1"/>
    <xf numFmtId="3" fontId="4" fillId="0" borderId="49" xfId="0" applyNumberFormat="1" applyFont="1" applyBorder="1"/>
    <xf numFmtId="3" fontId="4" fillId="11" borderId="50" xfId="0" applyNumberFormat="1" applyFont="1" applyFill="1" applyBorder="1"/>
    <xf numFmtId="0" fontId="4" fillId="5" borderId="36" xfId="0" applyFont="1" applyFill="1" applyBorder="1"/>
    <xf numFmtId="3" fontId="4" fillId="0" borderId="51" xfId="0" applyNumberFormat="1" applyFont="1" applyBorder="1"/>
    <xf numFmtId="3" fontId="4" fillId="0" borderId="52" xfId="0" applyNumberFormat="1" applyFont="1" applyBorder="1"/>
    <xf numFmtId="3" fontId="4" fillId="0" borderId="53" xfId="0" applyNumberFormat="1" applyFont="1" applyBorder="1"/>
    <xf numFmtId="3" fontId="4" fillId="11" borderId="43" xfId="0" applyNumberFormat="1" applyFont="1" applyFill="1" applyBorder="1"/>
    <xf numFmtId="0" fontId="3" fillId="0" borderId="23" xfId="0" applyFont="1" applyBorder="1"/>
    <xf numFmtId="0" fontId="4" fillId="0" borderId="23" xfId="0" applyFont="1" applyBorder="1"/>
    <xf numFmtId="3" fontId="4" fillId="3" borderId="54" xfId="0" applyNumberFormat="1" applyFont="1" applyFill="1" applyBorder="1"/>
    <xf numFmtId="3" fontId="4" fillId="9" borderId="55" xfId="0" applyNumberFormat="1" applyFont="1" applyFill="1" applyBorder="1"/>
    <xf numFmtId="3" fontId="4" fillId="7" borderId="56" xfId="0" applyNumberFormat="1" applyFont="1" applyFill="1" applyBorder="1"/>
    <xf numFmtId="3" fontId="4" fillId="8" borderId="24" xfId="0" applyNumberFormat="1" applyFont="1" applyFill="1" applyBorder="1"/>
    <xf numFmtId="9" fontId="4" fillId="3" borderId="54" xfId="0" applyNumberFormat="1" applyFont="1" applyFill="1" applyBorder="1"/>
    <xf numFmtId="9" fontId="4" fillId="9" borderId="55" xfId="0" applyNumberFormat="1" applyFont="1" applyFill="1" applyBorder="1"/>
    <xf numFmtId="9" fontId="4" fillId="7" borderId="56" xfId="0" applyNumberFormat="1" applyFont="1" applyFill="1" applyBorder="1"/>
    <xf numFmtId="9" fontId="4" fillId="8" borderId="24" xfId="0" applyNumberFormat="1" applyFont="1" applyFill="1" applyBorder="1"/>
    <xf numFmtId="0" fontId="4" fillId="0" borderId="38" xfId="0" applyFont="1" applyBorder="1"/>
    <xf numFmtId="0" fontId="3" fillId="8" borderId="21" xfId="0" applyFont="1" applyFill="1" applyBorder="1"/>
    <xf numFmtId="0" fontId="4" fillId="0" borderId="0" xfId="0" applyFont="1"/>
    <xf numFmtId="0" fontId="4" fillId="5" borderId="33" xfId="0" applyFont="1" applyFill="1" applyBorder="1"/>
    <xf numFmtId="3" fontId="27" fillId="12" borderId="10" xfId="0" applyNumberFormat="1" applyFont="1" applyFill="1" applyBorder="1"/>
    <xf numFmtId="3" fontId="27" fillId="12" borderId="41" xfId="0" applyNumberFormat="1" applyFont="1" applyFill="1" applyBorder="1"/>
    <xf numFmtId="3" fontId="27" fillId="0" borderId="11" xfId="0" applyNumberFormat="1" applyFont="1" applyBorder="1"/>
    <xf numFmtId="3" fontId="3" fillId="11" borderId="47" xfId="0" applyNumberFormat="1" applyFont="1" applyFill="1" applyBorder="1"/>
    <xf numFmtId="3" fontId="27" fillId="0" borderId="0" xfId="0" applyNumberFormat="1" applyFont="1"/>
    <xf numFmtId="0" fontId="3" fillId="0" borderId="22" xfId="0" applyFont="1" applyBorder="1" applyAlignment="1">
      <alignment horizontal="center" vertical="center" textRotation="90"/>
    </xf>
    <xf numFmtId="0" fontId="4" fillId="5" borderId="35" xfId="0" applyFont="1" applyFill="1" applyBorder="1"/>
    <xf numFmtId="3" fontId="27" fillId="0" borderId="48" xfId="0" applyNumberFormat="1" applyFont="1" applyBorder="1"/>
    <xf numFmtId="3" fontId="27" fillId="0" borderId="1" xfId="0" applyNumberFormat="1" applyFont="1" applyBorder="1"/>
    <xf numFmtId="3" fontId="27" fillId="0" borderId="49" xfId="0" applyNumberFormat="1" applyFont="1" applyBorder="1"/>
    <xf numFmtId="3" fontId="3" fillId="11" borderId="50" xfId="0" applyNumberFormat="1" applyFont="1" applyFill="1" applyBorder="1"/>
    <xf numFmtId="3" fontId="27" fillId="12" borderId="48" xfId="0" applyNumberFormat="1" applyFont="1" applyFill="1" applyBorder="1"/>
    <xf numFmtId="3" fontId="27" fillId="12" borderId="1" xfId="0" applyNumberFormat="1" applyFont="1" applyFill="1" applyBorder="1"/>
    <xf numFmtId="0" fontId="3" fillId="0" borderId="23" xfId="0" applyFont="1" applyBorder="1" applyAlignment="1">
      <alignment horizontal="center" vertical="center" textRotation="90"/>
    </xf>
    <xf numFmtId="0" fontId="4" fillId="5" borderId="37" xfId="0" applyFont="1" applyFill="1" applyBorder="1"/>
    <xf numFmtId="3" fontId="27" fillId="0" borderId="51" xfId="0" applyNumberFormat="1" applyFont="1" applyBorder="1"/>
    <xf numFmtId="3" fontId="27" fillId="0" borderId="52" xfId="0" applyNumberFormat="1" applyFont="1" applyBorder="1"/>
    <xf numFmtId="3" fontId="27" fillId="0" borderId="53" xfId="0" applyNumberFormat="1" applyFont="1" applyBorder="1"/>
    <xf numFmtId="3" fontId="3" fillId="11" borderId="43" xfId="0" applyNumberFormat="1" applyFont="1" applyFill="1" applyBorder="1"/>
    <xf numFmtId="0" fontId="3" fillId="0" borderId="40" xfId="0" applyFont="1" applyBorder="1"/>
    <xf numFmtId="3" fontId="3" fillId="3" borderId="54" xfId="0" applyNumberFormat="1" applyFont="1" applyFill="1" applyBorder="1"/>
    <xf numFmtId="3" fontId="3" fillId="9" borderId="55" xfId="0" applyNumberFormat="1" applyFont="1" applyFill="1" applyBorder="1"/>
    <xf numFmtId="3" fontId="3" fillId="7" borderId="56" xfId="0" applyNumberFormat="1" applyFont="1" applyFill="1" applyBorder="1"/>
    <xf numFmtId="3" fontId="3" fillId="8" borderId="24" xfId="0" applyNumberFormat="1" applyFont="1" applyFill="1" applyBorder="1"/>
    <xf numFmtId="9" fontId="3" fillId="3" borderId="54" xfId="0" applyNumberFormat="1" applyFont="1" applyFill="1" applyBorder="1"/>
    <xf numFmtId="9" fontId="3" fillId="9" borderId="55" xfId="0" applyNumberFormat="1" applyFont="1" applyFill="1" applyBorder="1"/>
    <xf numFmtId="9" fontId="3" fillId="7" borderId="56" xfId="0" applyNumberFormat="1" applyFont="1" applyFill="1" applyBorder="1"/>
    <xf numFmtId="9" fontId="3" fillId="8" borderId="28" xfId="0" applyNumberFormat="1" applyFont="1" applyFill="1" applyBorder="1"/>
    <xf numFmtId="0" fontId="4" fillId="3" borderId="57" xfId="0" applyFont="1" applyFill="1" applyBorder="1"/>
    <xf numFmtId="0" fontId="4" fillId="7" borderId="61" xfId="0" applyFont="1" applyFill="1" applyBorder="1"/>
    <xf numFmtId="0" fontId="3" fillId="8" borderId="38" xfId="0" applyFont="1" applyFill="1" applyBorder="1"/>
    <xf numFmtId="3" fontId="27" fillId="0" borderId="58" xfId="0" applyNumberFormat="1" applyFont="1" applyBorder="1"/>
    <xf numFmtId="3" fontId="27" fillId="0" borderId="41" xfId="0" applyNumberFormat="1" applyFont="1" applyBorder="1"/>
    <xf numFmtId="3" fontId="27" fillId="0" borderId="42" xfId="0" applyNumberFormat="1" applyFont="1" applyBorder="1"/>
    <xf numFmtId="3" fontId="3" fillId="11" borderId="33" xfId="0" applyNumberFormat="1" applyFont="1" applyFill="1" applyBorder="1"/>
    <xf numFmtId="3" fontId="27" fillId="0" borderId="6" xfId="0" applyNumberFormat="1" applyFont="1" applyBorder="1"/>
    <xf numFmtId="3" fontId="27" fillId="0" borderId="5" xfId="0" applyNumberFormat="1" applyFont="1" applyBorder="1"/>
    <xf numFmtId="3" fontId="3" fillId="11" borderId="35" xfId="0" applyNumberFormat="1" applyFont="1" applyFill="1" applyBorder="1"/>
    <xf numFmtId="3" fontId="27" fillId="0" borderId="59" xfId="0" applyNumberFormat="1" applyFont="1" applyBorder="1"/>
    <xf numFmtId="3" fontId="27" fillId="0" borderId="62" xfId="0" applyNumberFormat="1" applyFont="1" applyBorder="1"/>
    <xf numFmtId="3" fontId="3" fillId="11" borderId="37" xfId="0" applyNumberFormat="1" applyFont="1" applyFill="1" applyBorder="1"/>
    <xf numFmtId="3" fontId="3" fillId="3" borderId="60" xfId="0" applyNumberFormat="1" applyFont="1" applyFill="1" applyBorder="1"/>
    <xf numFmtId="3" fontId="3" fillId="7" borderId="63" xfId="0" applyNumberFormat="1" applyFont="1" applyFill="1" applyBorder="1"/>
    <xf numFmtId="3" fontId="3" fillId="8" borderId="40" xfId="0" applyNumberFormat="1" applyFont="1" applyFill="1" applyBorder="1"/>
    <xf numFmtId="3" fontId="3" fillId="0" borderId="0" xfId="0" applyNumberFormat="1" applyFont="1"/>
    <xf numFmtId="3" fontId="27" fillId="12" borderId="58" xfId="0" applyNumberFormat="1" applyFont="1" applyFill="1" applyBorder="1"/>
    <xf numFmtId="3" fontId="27" fillId="12" borderId="6" xfId="0" applyNumberFormat="1" applyFont="1" applyFill="1" applyBorder="1"/>
    <xf numFmtId="0" fontId="3" fillId="0" borderId="39" xfId="0" applyFont="1" applyBorder="1"/>
    <xf numFmtId="3" fontId="3" fillId="3" borderId="65" xfId="0" applyNumberFormat="1" applyFont="1" applyFill="1" applyBorder="1"/>
    <xf numFmtId="3" fontId="3" fillId="9" borderId="3" xfId="0" applyNumberFormat="1" applyFont="1" applyFill="1" applyBorder="1"/>
    <xf numFmtId="3" fontId="3" fillId="7" borderId="66" xfId="0" applyNumberFormat="1" applyFont="1" applyFill="1" applyBorder="1"/>
    <xf numFmtId="3" fontId="3" fillId="8" borderId="39" xfId="0" applyNumberFormat="1" applyFont="1" applyFill="1" applyBorder="1"/>
    <xf numFmtId="0" fontId="3" fillId="0" borderId="16" xfId="0" applyFont="1" applyBorder="1" applyAlignment="1">
      <alignment horizontal="center" vertical="center" textRotation="90"/>
    </xf>
    <xf numFmtId="0" fontId="3" fillId="0" borderId="19" xfId="0" applyFont="1" applyBorder="1"/>
    <xf numFmtId="3" fontId="3" fillId="0" borderId="64" xfId="0" applyNumberFormat="1" applyFont="1" applyBorder="1"/>
    <xf numFmtId="3" fontId="3" fillId="0" borderId="45" xfId="0" applyNumberFormat="1" applyFont="1" applyBorder="1"/>
    <xf numFmtId="3" fontId="3" fillId="0" borderId="46" xfId="0" applyNumberFormat="1" applyFont="1" applyBorder="1"/>
    <xf numFmtId="3" fontId="3" fillId="0" borderId="19" xfId="0" applyNumberFormat="1" applyFont="1" applyBorder="1"/>
    <xf numFmtId="3" fontId="4" fillId="0" borderId="0" xfId="0" applyNumberFormat="1" applyFont="1"/>
    <xf numFmtId="0" fontId="3" fillId="0" borderId="16" xfId="0" applyFont="1" applyBorder="1"/>
    <xf numFmtId="0" fontId="4" fillId="5" borderId="19" xfId="0" applyFont="1" applyFill="1" applyBorder="1"/>
    <xf numFmtId="3" fontId="27" fillId="0" borderId="64" xfId="0" applyNumberFormat="1" applyFont="1" applyBorder="1"/>
    <xf numFmtId="3" fontId="27" fillId="0" borderId="45" xfId="0" applyNumberFormat="1" applyFont="1" applyBorder="1"/>
    <xf numFmtId="3" fontId="27" fillId="0" borderId="46" xfId="0" applyNumberFormat="1" applyFont="1" applyBorder="1"/>
    <xf numFmtId="3" fontId="3" fillId="11" borderId="19" xfId="0" applyNumberFormat="1" applyFont="1" applyFill="1" applyBorder="1"/>
    <xf numFmtId="0" fontId="4" fillId="0" borderId="19" xfId="0" applyFont="1" applyBorder="1"/>
    <xf numFmtId="0" fontId="4" fillId="3" borderId="8" xfId="0" applyFont="1" applyFill="1" applyBorder="1"/>
    <xf numFmtId="0" fontId="4" fillId="9" borderId="45" xfId="0" applyFont="1" applyFill="1" applyBorder="1"/>
    <xf numFmtId="0" fontId="4" fillId="7" borderId="46" xfId="0" applyFont="1" applyFill="1" applyBorder="1"/>
    <xf numFmtId="0" fontId="3" fillId="8" borderId="19" xfId="0" applyFont="1" applyFill="1" applyBorder="1" applyAlignment="1">
      <alignment horizontal="center"/>
    </xf>
    <xf numFmtId="0" fontId="4" fillId="0" borderId="33" xfId="0" applyFont="1" applyBorder="1"/>
    <xf numFmtId="3" fontId="4" fillId="0" borderId="42" xfId="0" applyNumberFormat="1" applyFont="1" applyBorder="1"/>
    <xf numFmtId="0" fontId="4" fillId="0" borderId="44" xfId="0" applyFont="1" applyBorder="1"/>
    <xf numFmtId="3" fontId="4" fillId="0" borderId="12" xfId="0" applyNumberFormat="1" applyFont="1" applyBorder="1"/>
    <xf numFmtId="3" fontId="4" fillId="0" borderId="2" xfId="0" applyNumberFormat="1" applyFont="1" applyBorder="1"/>
    <xf numFmtId="3" fontId="4" fillId="0" borderId="25" xfId="0" applyNumberFormat="1" applyFont="1" applyBorder="1"/>
    <xf numFmtId="3" fontId="3" fillId="11" borderId="44" xfId="0" applyNumberFormat="1" applyFont="1" applyFill="1" applyBorder="1"/>
    <xf numFmtId="3" fontId="3" fillId="3" borderId="19" xfId="0" applyNumberFormat="1" applyFont="1" applyFill="1" applyBorder="1"/>
    <xf numFmtId="3" fontId="3" fillId="9" borderId="19" xfId="0" applyNumberFormat="1" applyFont="1" applyFill="1" applyBorder="1"/>
    <xf numFmtId="3" fontId="3" fillId="7" borderId="16" xfId="0" applyNumberFormat="1" applyFont="1" applyFill="1" applyBorder="1"/>
    <xf numFmtId="3" fontId="3" fillId="8" borderId="19" xfId="0" applyNumberFormat="1" applyFont="1" applyFill="1" applyBorder="1"/>
    <xf numFmtId="0" fontId="4" fillId="8" borderId="19" xfId="0" applyFont="1" applyFill="1" applyBorder="1"/>
    <xf numFmtId="0" fontId="4" fillId="9" borderId="46" xfId="0" applyFont="1" applyFill="1" applyBorder="1"/>
    <xf numFmtId="0" fontId="27" fillId="8" borderId="19" xfId="0" applyFont="1" applyFill="1" applyBorder="1" applyAlignment="1">
      <alignment horizontal="center"/>
    </xf>
    <xf numFmtId="3" fontId="4" fillId="0" borderId="29" xfId="0" applyNumberFormat="1" applyFont="1" applyBorder="1"/>
    <xf numFmtId="3" fontId="4" fillId="0" borderId="20" xfId="0" applyNumberFormat="1" applyFont="1" applyBorder="1"/>
    <xf numFmtId="3" fontId="4" fillId="11" borderId="38" xfId="0" applyNumberFormat="1" applyFont="1" applyFill="1" applyBorder="1"/>
    <xf numFmtId="3" fontId="4" fillId="0" borderId="36" xfId="0" applyNumberFormat="1" applyFont="1" applyBorder="1"/>
    <xf numFmtId="3" fontId="4" fillId="11" borderId="37" xfId="0" applyNumberFormat="1" applyFont="1" applyFill="1" applyBorder="1"/>
    <xf numFmtId="0" fontId="3" fillId="8" borderId="19" xfId="0" applyFont="1" applyFill="1" applyBorder="1"/>
    <xf numFmtId="3" fontId="3" fillId="9" borderId="16" xfId="0" applyNumberFormat="1" applyFont="1" applyFill="1" applyBorder="1"/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11" fillId="10" borderId="1" xfId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11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3" fillId="0" borderId="2" xfId="1" applyFont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 textRotation="90" wrapText="1"/>
    </xf>
    <xf numFmtId="0" fontId="1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5" xfId="1" applyFont="1" applyFill="1" applyBorder="1" applyAlignment="1">
      <alignment vertical="center"/>
    </xf>
    <xf numFmtId="0" fontId="3" fillId="2" borderId="26" xfId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0" fontId="3" fillId="2" borderId="28" xfId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2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0" fontId="3" fillId="0" borderId="4" xfId="1" applyFont="1" applyBorder="1" applyAlignment="1">
      <alignment horizontal="center" vertical="center" textRotation="90"/>
    </xf>
    <xf numFmtId="0" fontId="12" fillId="0" borderId="5" xfId="1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1" fillId="0" borderId="2" xfId="1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11" fillId="0" borderId="5" xfId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1" fillId="0" borderId="2" xfId="1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left"/>
    </xf>
    <xf numFmtId="3" fontId="12" fillId="0" borderId="5" xfId="1" applyNumberFormat="1" applyFont="1" applyBorder="1"/>
    <xf numFmtId="3" fontId="12" fillId="0" borderId="6" xfId="1" applyNumberFormat="1" applyFont="1" applyBorder="1"/>
    <xf numFmtId="0" fontId="12" fillId="0" borderId="5" xfId="1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4" fontId="12" fillId="0" borderId="5" xfId="1" applyNumberFormat="1" applyFont="1" applyBorder="1"/>
    <xf numFmtId="4" fontId="12" fillId="0" borderId="6" xfId="1" applyNumberFormat="1" applyFont="1" applyBorder="1"/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32" xfId="0" applyFont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3" fillId="0" borderId="36" xfId="0" applyFont="1" applyBorder="1" applyAlignment="1">
      <alignment horizontal="center" vertical="center" textRotation="90"/>
    </xf>
    <xf numFmtId="0" fontId="3" fillId="11" borderId="16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textRotation="90" wrapText="1"/>
    </xf>
    <xf numFmtId="0" fontId="3" fillId="0" borderId="39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/>
    </xf>
  </cellXfs>
  <cellStyles count="6">
    <cellStyle name="Hypertextový odkaz" xfId="3" builtinId="8"/>
    <cellStyle name="Normální" xfId="0" builtinId="0"/>
    <cellStyle name="Normální 2" xfId="4"/>
    <cellStyle name="Normální 3" xfId="5"/>
    <cellStyle name="normální_příloha č. 2 a - Odhad, VNT a vyúčtování" xfId="2"/>
    <cellStyle name="normální_vyúčtování 2007- výkazy nákl.a tržeb z př. činnost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zso.cz/csu/czso/mira_inflac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czso.cz/csu/czso/cri/prumerne-mzdy-2-ctvrtleti-2022" TargetMode="Externa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pohoda.cz/dane-ucetnictvi-mzdy/mzdy-a-prace/cestovni-nahrady-v-roce-2018/" TargetMode="External"/><Relationship Id="rId2" Type="http://schemas.openxmlformats.org/officeDocument/2006/relationships/hyperlink" Target="https://portal.pohoda.cz/dane-ucetnictvi-mzdy/mzdy-a-prace/cestovni-nahrady-v-roce-2021/" TargetMode="External"/><Relationship Id="rId1" Type="http://schemas.openxmlformats.org/officeDocument/2006/relationships/hyperlink" Target="https://www.czso.cz/csu/czso/indexy-cen-prumyslovych-vyrobcu-cervenec-2021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czso.cz/csu/czso/indexy-cen-prumyslovych-vyrobcu-cervenec-202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G27"/>
  <sheetViews>
    <sheetView tabSelected="1" workbookViewId="0">
      <selection activeCell="C11" sqref="C11"/>
    </sheetView>
  </sheetViews>
  <sheetFormatPr defaultRowHeight="14.25"/>
  <cols>
    <col min="2" max="2" width="22.375" customWidth="1"/>
    <col min="3" max="3" width="13.5" customWidth="1"/>
    <col min="4" max="5" width="7.25" customWidth="1"/>
    <col min="6" max="6" width="25.5" customWidth="1"/>
    <col min="7" max="10" width="9.75" customWidth="1"/>
  </cols>
  <sheetData>
    <row r="2" spans="2:3" s="94" customFormat="1" ht="15.75">
      <c r="B2" s="94" t="s">
        <v>211</v>
      </c>
    </row>
    <row r="3" spans="2:3" s="94" customFormat="1" ht="15.75">
      <c r="B3" s="94" t="s">
        <v>215</v>
      </c>
    </row>
    <row r="5" spans="2:3" ht="15" thickBot="1"/>
    <row r="6" spans="2:3" ht="15.75" thickBot="1">
      <c r="B6" s="223" t="s">
        <v>212</v>
      </c>
      <c r="C6" s="224"/>
    </row>
    <row r="7" spans="2:3">
      <c r="B7" s="15" t="s">
        <v>81</v>
      </c>
      <c r="C7" s="16">
        <f>'výchozí model A'!H25-'výchozí model A'!H29</f>
        <v>52282.797812650606</v>
      </c>
    </row>
    <row r="8" spans="2:3" ht="15" thickBot="1">
      <c r="B8" s="17" t="s">
        <v>82</v>
      </c>
      <c r="C8" s="18">
        <f>'výchozí model T'!H24-'výchozí model T'!H28</f>
        <v>44814.955851759856</v>
      </c>
    </row>
    <row r="9" spans="2:3" ht="15.75" thickBot="1">
      <c r="B9" s="23" t="s">
        <v>84</v>
      </c>
      <c r="C9" s="87">
        <f>SUM(C7:C8)</f>
        <v>97097.753664410469</v>
      </c>
    </row>
    <row r="10" spans="2:3" ht="15" thickBot="1">
      <c r="B10" s="19" t="s">
        <v>83</v>
      </c>
      <c r="C10" s="20">
        <f>'výchozí model (T + A)'!K31</f>
        <v>1599.0991900000001</v>
      </c>
    </row>
    <row r="11" spans="2:3" ht="15.75" thickBot="1">
      <c r="B11" s="23" t="s">
        <v>85</v>
      </c>
      <c r="C11" s="89">
        <f>SUM(C9:C10)</f>
        <v>98696.852854410463</v>
      </c>
    </row>
    <row r="13" spans="2:3" ht="15" thickBot="1"/>
    <row r="14" spans="2:3" ht="15.75" thickBot="1">
      <c r="B14" s="223" t="s">
        <v>213</v>
      </c>
      <c r="C14" s="224"/>
    </row>
    <row r="15" spans="2:3">
      <c r="B15" s="15" t="s">
        <v>81</v>
      </c>
      <c r="C15" s="16">
        <f>'výchozí model A'!F25-'výchozí model A'!F29</f>
        <v>52609.326181424913</v>
      </c>
    </row>
    <row r="16" spans="2:3" ht="15" thickBot="1">
      <c r="B16" s="17" t="s">
        <v>82</v>
      </c>
      <c r="C16" s="18">
        <f>'výchozí model T'!F24-'výchozí model T'!F28</f>
        <v>48863.133657067083</v>
      </c>
    </row>
    <row r="17" spans="2:7" ht="15.75" thickBot="1">
      <c r="B17" s="23" t="s">
        <v>84</v>
      </c>
      <c r="C17" s="21">
        <f>SUM(C15:C16)</f>
        <v>101472.459838492</v>
      </c>
    </row>
    <row r="18" spans="2:7" ht="15" thickBot="1">
      <c r="B18" s="19" t="s">
        <v>83</v>
      </c>
      <c r="C18" s="20">
        <f>'výchozí model (T + A)'!G31</f>
        <v>1599.0991900000001</v>
      </c>
    </row>
    <row r="19" spans="2:7" ht="15.75" thickBot="1">
      <c r="B19" s="23" t="s">
        <v>85</v>
      </c>
      <c r="C19" s="22">
        <f>SUM(C17:C18)</f>
        <v>103071.55902849199</v>
      </c>
    </row>
    <row r="21" spans="2:7" ht="15" thickBot="1"/>
    <row r="22" spans="2:7" ht="15.75" thickBot="1">
      <c r="B22" s="223" t="s">
        <v>214</v>
      </c>
      <c r="C22" s="224"/>
    </row>
    <row r="23" spans="2:7" ht="13.9" customHeight="1">
      <c r="B23" s="15" t="s">
        <v>81</v>
      </c>
      <c r="C23" s="16">
        <v>52375.292401267376</v>
      </c>
      <c r="G23" s="90"/>
    </row>
    <row r="24" spans="2:7" ht="13.9" customHeight="1" thickBot="1">
      <c r="B24" s="17" t="s">
        <v>82</v>
      </c>
      <c r="C24" s="18">
        <v>48746.005361078394</v>
      </c>
    </row>
    <row r="25" spans="2:7" ht="14.45" customHeight="1" thickBot="1">
      <c r="B25" s="23" t="s">
        <v>84</v>
      </c>
      <c r="C25" s="21">
        <v>101121.29776234577</v>
      </c>
    </row>
    <row r="26" spans="2:7" ht="13.9" customHeight="1" thickBot="1">
      <c r="B26" s="19" t="s">
        <v>83</v>
      </c>
      <c r="C26" s="20">
        <v>1591.2038765999994</v>
      </c>
      <c r="G26" s="24"/>
    </row>
    <row r="27" spans="2:7" ht="14.45" customHeight="1" thickBot="1">
      <c r="B27" s="23" t="s">
        <v>85</v>
      </c>
      <c r="C27" s="22">
        <v>102712.50163894577</v>
      </c>
      <c r="G27" s="90"/>
    </row>
  </sheetData>
  <mergeCells count="3">
    <mergeCell ref="B14:C14"/>
    <mergeCell ref="B6:C6"/>
    <mergeCell ref="B22:C22"/>
  </mergeCells>
  <phoneticPr fontId="23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46"/>
  <sheetViews>
    <sheetView topLeftCell="B18" workbookViewId="0">
      <selection activeCell="K7" sqref="K7:L7"/>
    </sheetView>
  </sheetViews>
  <sheetFormatPr defaultRowHeight="14.25"/>
  <cols>
    <col min="3" max="3" width="52.625" bestFit="1" customWidth="1"/>
    <col min="4" max="4" width="4.875" bestFit="1" customWidth="1"/>
    <col min="5" max="12" width="12.625" customWidth="1"/>
  </cols>
  <sheetData>
    <row r="2" spans="2:12" ht="18">
      <c r="B2" s="238" t="s">
        <v>137</v>
      </c>
      <c r="C2" s="239"/>
      <c r="D2" s="239"/>
      <c r="E2" s="239"/>
      <c r="F2" s="239"/>
      <c r="G2" s="239"/>
      <c r="H2" s="239"/>
      <c r="I2" s="72"/>
      <c r="J2" s="72"/>
      <c r="L2" s="92" t="s">
        <v>189</v>
      </c>
    </row>
    <row r="3" spans="2:12">
      <c r="B3" s="52"/>
      <c r="C3" s="52"/>
      <c r="D3" s="52"/>
      <c r="E3" s="52"/>
    </row>
    <row r="4" spans="2:12">
      <c r="B4" s="52" t="s">
        <v>0</v>
      </c>
      <c r="C4" s="52"/>
      <c r="D4" s="52"/>
      <c r="E4" s="52"/>
    </row>
    <row r="5" spans="2:12">
      <c r="B5" s="52" t="s">
        <v>1</v>
      </c>
      <c r="C5" s="52"/>
      <c r="D5" s="52"/>
      <c r="E5" s="52"/>
    </row>
    <row r="7" spans="2:12">
      <c r="B7" s="240" t="s">
        <v>138</v>
      </c>
      <c r="C7" s="241"/>
      <c r="D7" s="244" t="s">
        <v>3</v>
      </c>
      <c r="E7" s="229" t="s">
        <v>135</v>
      </c>
      <c r="F7" s="230"/>
      <c r="G7" s="231" t="s">
        <v>195</v>
      </c>
      <c r="H7" s="232"/>
      <c r="I7" s="231" t="s">
        <v>196</v>
      </c>
      <c r="J7" s="232"/>
      <c r="K7" s="225" t="s">
        <v>197</v>
      </c>
      <c r="L7" s="226"/>
    </row>
    <row r="8" spans="2:12">
      <c r="B8" s="242"/>
      <c r="C8" s="243"/>
      <c r="D8" s="245"/>
      <c r="E8" s="31" t="s">
        <v>31</v>
      </c>
      <c r="F8" s="32" t="s">
        <v>136</v>
      </c>
      <c r="G8" s="45" t="s">
        <v>80</v>
      </c>
      <c r="H8" s="45" t="s">
        <v>136</v>
      </c>
      <c r="I8" s="45" t="s">
        <v>179</v>
      </c>
      <c r="J8" s="45" t="s">
        <v>52</v>
      </c>
      <c r="K8" s="47" t="s">
        <v>80</v>
      </c>
      <c r="L8" s="47" t="s">
        <v>136</v>
      </c>
    </row>
    <row r="9" spans="2:12">
      <c r="B9" s="246" t="s">
        <v>139</v>
      </c>
      <c r="C9" s="53" t="s">
        <v>140</v>
      </c>
      <c r="D9" s="53">
        <v>1</v>
      </c>
      <c r="E9" s="61">
        <f>'výchozí model T'!D9+'výchozí model T'!D10+'výchozí model A'!D9</f>
        <v>15317.553619999999</v>
      </c>
      <c r="F9" s="62">
        <f>E9/$E$37</f>
        <v>5.3936757221179539</v>
      </c>
      <c r="G9" s="61">
        <f>'výchozí model T'!F9+'výchozí model T'!F10+'výchozí model A'!F9</f>
        <v>17268.259297634249</v>
      </c>
      <c r="H9" s="62">
        <f>G9/$G$37</f>
        <v>6.0805656861077466</v>
      </c>
      <c r="I9" s="78">
        <f>G9/E9-1</f>
        <v>0.12735099390069915</v>
      </c>
      <c r="J9" s="79" t="s">
        <v>180</v>
      </c>
      <c r="K9" s="61">
        <f>'výchozí model T'!H9+'výchozí model T'!H10+'výchozí model A'!H9</f>
        <v>16255.002792734311</v>
      </c>
      <c r="L9" s="62">
        <f>K9/$K$37</f>
        <v>6.0178216314029571</v>
      </c>
    </row>
    <row r="10" spans="2:12">
      <c r="B10" s="247"/>
      <c r="C10" s="53" t="s">
        <v>39</v>
      </c>
      <c r="D10" s="53">
        <v>2</v>
      </c>
      <c r="E10" s="61">
        <f>'výchozí model T'!D11+'výchozí model A'!D10</f>
        <v>2553.98279</v>
      </c>
      <c r="F10" s="62">
        <f t="shared" ref="F10:F32" si="0">E10/$E$37</f>
        <v>0.89931821430960845</v>
      </c>
      <c r="G10" s="61">
        <f>'výchozí model T'!F11+'výchozí model A'!F10</f>
        <v>2786.1630436363639</v>
      </c>
      <c r="H10" s="62">
        <f t="shared" ref="H10:H24" si="1">G10/$G$37</f>
        <v>0.98107441561048203</v>
      </c>
      <c r="I10" s="78">
        <f t="shared" ref="I10:I28" si="2">G10/E10-1</f>
        <v>9.090909090909105E-2</v>
      </c>
      <c r="J10" s="78" t="s">
        <v>181</v>
      </c>
      <c r="K10" s="61">
        <f>'výchozí model T'!H11+'výchozí model A'!H10</f>
        <v>2650.212638306893</v>
      </c>
      <c r="L10" s="62">
        <f t="shared" ref="L10:L31" si="3">K10/$K$37</f>
        <v>0.98114452184218715</v>
      </c>
    </row>
    <row r="11" spans="2:12">
      <c r="B11" s="247"/>
      <c r="C11" s="53" t="s">
        <v>7</v>
      </c>
      <c r="D11" s="53">
        <v>3</v>
      </c>
      <c r="E11" s="61">
        <f>'výchozí model T'!D12+'výchozí model A'!D11</f>
        <v>17170.237849999998</v>
      </c>
      <c r="F11" s="62">
        <f t="shared" si="0"/>
        <v>6.0460499980633182</v>
      </c>
      <c r="G11" s="61">
        <f>'výchozí model T'!F12+'výchozí model A'!F11</f>
        <v>18731.168563636365</v>
      </c>
      <c r="H11" s="62">
        <f t="shared" si="1"/>
        <v>6.5956909069781666</v>
      </c>
      <c r="I11" s="78">
        <f t="shared" si="2"/>
        <v>9.090909090909105E-2</v>
      </c>
      <c r="J11" s="78" t="s">
        <v>181</v>
      </c>
      <c r="K11" s="61">
        <f>'výchozí model T'!H12+'výchozí model A'!H11</f>
        <v>17966.654335781328</v>
      </c>
      <c r="L11" s="62">
        <f t="shared" si="3"/>
        <v>6.6514981562557667</v>
      </c>
    </row>
    <row r="12" spans="2:12">
      <c r="B12" s="247"/>
      <c r="C12" s="53" t="s">
        <v>8</v>
      </c>
      <c r="D12" s="53">
        <v>4</v>
      </c>
      <c r="E12" s="61">
        <f>'výchozí model T'!D13+'výchozí model A'!D12</f>
        <v>16213.231</v>
      </c>
      <c r="F12" s="62">
        <f t="shared" si="0"/>
        <v>5.7090650760059303</v>
      </c>
      <c r="G12" s="61">
        <f>'výchozí model T'!F13+'výchozí model A'!F12</f>
        <v>17687.161090909092</v>
      </c>
      <c r="H12" s="62">
        <f t="shared" si="1"/>
        <v>6.2280709920064696</v>
      </c>
      <c r="I12" s="78">
        <f t="shared" si="2"/>
        <v>9.090909090909105E-2</v>
      </c>
      <c r="J12" s="78" t="s">
        <v>181</v>
      </c>
      <c r="K12" s="61">
        <f>'výchozí model T'!H13+'výchozí model A'!H12</f>
        <v>16690.784458992821</v>
      </c>
      <c r="L12" s="62">
        <f t="shared" si="3"/>
        <v>6.1791538914596256</v>
      </c>
    </row>
    <row r="13" spans="2:12">
      <c r="B13" s="247"/>
      <c r="C13" s="53" t="s">
        <v>9</v>
      </c>
      <c r="D13" s="53">
        <v>5</v>
      </c>
      <c r="E13" s="61">
        <f>'výchozí model T'!D14+'výchozí model A'!D13</f>
        <v>0</v>
      </c>
      <c r="F13" s="62">
        <f t="shared" si="0"/>
        <v>0</v>
      </c>
      <c r="G13" s="61">
        <f>'výchozí model T'!F14+'výchozí model A'!F13</f>
        <v>0</v>
      </c>
      <c r="H13" s="62">
        <f t="shared" si="1"/>
        <v>0</v>
      </c>
      <c r="I13" s="78">
        <v>0</v>
      </c>
      <c r="J13" s="78" t="s">
        <v>181</v>
      </c>
      <c r="K13" s="61">
        <f>'výchozí model T'!H14+'výchozí model A'!H13</f>
        <v>0</v>
      </c>
      <c r="L13" s="62">
        <f t="shared" si="3"/>
        <v>0</v>
      </c>
    </row>
    <row r="14" spans="2:12">
      <c r="B14" s="247"/>
      <c r="C14" s="53" t="s">
        <v>10</v>
      </c>
      <c r="D14" s="53">
        <v>6</v>
      </c>
      <c r="E14" s="61">
        <f>'výchozí model T'!D15+'výchozí model A'!D14</f>
        <v>46329.07699999999</v>
      </c>
      <c r="F14" s="62">
        <f t="shared" si="0"/>
        <v>16.31357226109278</v>
      </c>
      <c r="G14" s="61">
        <f>'výchozí model T'!F15+'výchozí model A'!F14</f>
        <v>52753.367149986188</v>
      </c>
      <c r="H14" s="62">
        <f t="shared" si="1"/>
        <v>18.575717945282136</v>
      </c>
      <c r="I14" s="80">
        <f>G14/E14-1</f>
        <v>0.13866648260629488</v>
      </c>
      <c r="J14" s="81" t="s">
        <v>182</v>
      </c>
      <c r="K14" s="61">
        <f>'výchozí model T'!H15+'výchozí model A'!H14</f>
        <v>49628.266160102561</v>
      </c>
      <c r="L14" s="62">
        <f t="shared" si="3"/>
        <v>18.373054587279523</v>
      </c>
    </row>
    <row r="15" spans="2:12">
      <c r="B15" s="247"/>
      <c r="C15" s="53" t="s">
        <v>11</v>
      </c>
      <c r="D15" s="53">
        <v>7</v>
      </c>
      <c r="E15" s="61">
        <f>'výchozí model T'!D16+'výchozí model A'!D15</f>
        <v>15517.750969999999</v>
      </c>
      <c r="F15" s="62">
        <f t="shared" si="0"/>
        <v>5.4641699807388262</v>
      </c>
      <c r="G15" s="61">
        <f>'výchozí model T'!F16+'výchozí model A'!F15</f>
        <v>17565.604427235201</v>
      </c>
      <c r="H15" s="62">
        <f t="shared" si="1"/>
        <v>6.1852679934347226</v>
      </c>
      <c r="I15" s="80">
        <f t="shared" si="2"/>
        <v>0.13196844447331668</v>
      </c>
      <c r="J15" s="81" t="s">
        <v>182</v>
      </c>
      <c r="K15" s="61">
        <f>'výchozí model T'!H16+'výchozí model A'!H15</f>
        <v>16524.949990465371</v>
      </c>
      <c r="L15" s="62">
        <f t="shared" si="3"/>
        <v>6.1177597308641705</v>
      </c>
    </row>
    <row r="16" spans="2:12">
      <c r="B16" s="247"/>
      <c r="C16" s="53" t="s">
        <v>12</v>
      </c>
      <c r="D16" s="53">
        <v>8</v>
      </c>
      <c r="E16" s="61">
        <f>'výchozí model T'!D17+'výchozí model A'!D16</f>
        <v>21.5352</v>
      </c>
      <c r="F16" s="62">
        <f t="shared" si="0"/>
        <v>7.5830572095594581E-3</v>
      </c>
      <c r="G16" s="61">
        <f>'výchozí model T'!F17+'výchozí model A'!F16</f>
        <v>23.492945454545456</v>
      </c>
      <c r="H16" s="62">
        <f t="shared" si="1"/>
        <v>8.2724260467921373E-3</v>
      </c>
      <c r="I16" s="78">
        <f t="shared" si="2"/>
        <v>9.090909090909105E-2</v>
      </c>
      <c r="J16" s="78" t="s">
        <v>181</v>
      </c>
      <c r="K16" s="61">
        <f>'výchozí model T'!H17+'výchozí model A'!H16</f>
        <v>23.492945454545456</v>
      </c>
      <c r="L16" s="62">
        <f t="shared" si="3"/>
        <v>8.6974057860467469E-3</v>
      </c>
    </row>
    <row r="17" spans="2:12">
      <c r="B17" s="247"/>
      <c r="C17" s="53" t="s">
        <v>141</v>
      </c>
      <c r="D17" s="53">
        <v>9</v>
      </c>
      <c r="E17" s="61">
        <f>'výchozí model T'!D18+'výchozí model T'!D19+'výchozí model A'!D17</f>
        <v>37.409999999999997</v>
      </c>
      <c r="F17" s="62">
        <f t="shared" si="0"/>
        <v>1.3172952663992873E-2</v>
      </c>
      <c r="G17" s="61">
        <f>'výchozí model T'!F18+'výchozí model T'!F19+'výchozí model A'!F17</f>
        <v>40.810909090909092</v>
      </c>
      <c r="H17" s="62">
        <f t="shared" si="1"/>
        <v>1.4370493815264954E-2</v>
      </c>
      <c r="I17" s="78">
        <f t="shared" si="2"/>
        <v>9.090909090909105E-2</v>
      </c>
      <c r="J17" s="78" t="s">
        <v>181</v>
      </c>
      <c r="K17" s="61">
        <f>'výchozí model T'!H18+'výchozí model T'!H19+'výchozí model A'!H17</f>
        <v>40.810909090909092</v>
      </c>
      <c r="L17" s="62">
        <f t="shared" si="3"/>
        <v>1.5108749881868234E-2</v>
      </c>
    </row>
    <row r="18" spans="2:12">
      <c r="B18" s="247"/>
      <c r="C18" s="53" t="s">
        <v>41</v>
      </c>
      <c r="D18" s="53">
        <v>10</v>
      </c>
      <c r="E18" s="61">
        <f>'výchozí model A'!D18</f>
        <v>12.51</v>
      </c>
      <c r="F18" s="62">
        <f t="shared" si="0"/>
        <v>4.4050691747273682E-3</v>
      </c>
      <c r="G18" s="61">
        <f>'výchozí model A'!F18</f>
        <v>13.647272727272728</v>
      </c>
      <c r="H18" s="62">
        <f t="shared" si="1"/>
        <v>4.8055300087934934E-3</v>
      </c>
      <c r="I18" s="78">
        <f t="shared" si="2"/>
        <v>9.090909090909105E-2</v>
      </c>
      <c r="J18" s="78" t="s">
        <v>181</v>
      </c>
      <c r="K18" s="61">
        <f>'výchozí model A'!H18</f>
        <v>13.647272727272728</v>
      </c>
      <c r="L18" s="62">
        <f t="shared" si="3"/>
        <v>5.052404731947918E-3</v>
      </c>
    </row>
    <row r="19" spans="2:12">
      <c r="B19" s="247"/>
      <c r="C19" s="53" t="s">
        <v>42</v>
      </c>
      <c r="D19" s="53">
        <v>11</v>
      </c>
      <c r="E19" s="61">
        <f>'výchozí model A'!D19</f>
        <v>0</v>
      </c>
      <c r="F19" s="62">
        <f t="shared" si="0"/>
        <v>0</v>
      </c>
      <c r="G19" s="61">
        <f>'výchozí model A'!F19</f>
        <v>0</v>
      </c>
      <c r="H19" s="62">
        <f t="shared" si="1"/>
        <v>0</v>
      </c>
      <c r="I19" s="78">
        <v>0</v>
      </c>
      <c r="J19" s="78" t="s">
        <v>181</v>
      </c>
      <c r="K19" s="61">
        <f>'výchozí model A'!H19</f>
        <v>0</v>
      </c>
      <c r="L19" s="62">
        <f t="shared" si="3"/>
        <v>0</v>
      </c>
    </row>
    <row r="20" spans="2:12">
      <c r="B20" s="247"/>
      <c r="C20" s="53" t="s">
        <v>43</v>
      </c>
      <c r="D20" s="53">
        <v>12</v>
      </c>
      <c r="E20" s="61">
        <f>'výchozí model A'!D20</f>
        <v>669.63593999999989</v>
      </c>
      <c r="F20" s="62">
        <f t="shared" si="0"/>
        <v>0.23579477518653758</v>
      </c>
      <c r="G20" s="61">
        <f>'výchozí model A'!F20</f>
        <v>730.51193454545455</v>
      </c>
      <c r="H20" s="62">
        <f t="shared" si="1"/>
        <v>0.25723066383985921</v>
      </c>
      <c r="I20" s="78">
        <f t="shared" si="2"/>
        <v>9.090909090909105E-2</v>
      </c>
      <c r="J20" s="78" t="s">
        <v>181</v>
      </c>
      <c r="K20" s="61">
        <f>'výchozí model A'!H20</f>
        <v>729.02721068203664</v>
      </c>
      <c r="L20" s="62">
        <f t="shared" si="3"/>
        <v>0.26989572221326835</v>
      </c>
    </row>
    <row r="21" spans="2:12">
      <c r="B21" s="247"/>
      <c r="C21" s="53" t="s">
        <v>15</v>
      </c>
      <c r="D21" s="53">
        <v>13</v>
      </c>
      <c r="E21" s="61">
        <f>'výchozí model T'!D20+'výchozí model A'!D21</f>
        <v>8051.116469999999</v>
      </c>
      <c r="F21" s="62">
        <f t="shared" si="0"/>
        <v>2.8349900067255649</v>
      </c>
      <c r="G21" s="61">
        <f>'výchozí model T'!F20+'výchozí model A'!F21</f>
        <v>8783.036149090909</v>
      </c>
      <c r="H21" s="62">
        <f t="shared" si="1"/>
        <v>3.0927163709733438</v>
      </c>
      <c r="I21" s="78">
        <v>0</v>
      </c>
      <c r="J21" s="78" t="s">
        <v>181</v>
      </c>
      <c r="K21" s="61">
        <f>'výchozí model T'!H20+'výchozí model A'!H21</f>
        <v>8363.157676016086</v>
      </c>
      <c r="L21" s="62">
        <f t="shared" si="3"/>
        <v>3.0961539540343224</v>
      </c>
    </row>
    <row r="22" spans="2:12">
      <c r="B22" s="247"/>
      <c r="C22" s="53" t="s">
        <v>16</v>
      </c>
      <c r="D22" s="53">
        <v>14</v>
      </c>
      <c r="E22" s="61">
        <f>'výchozí model T'!D21+'výchozí model A'!D22</f>
        <v>805.88864999999987</v>
      </c>
      <c r="F22" s="62">
        <f t="shared" si="0"/>
        <v>0.28377260194865328</v>
      </c>
      <c r="G22" s="61">
        <f>'výchozí model T'!F21+'výchozí model A'!F22</f>
        <v>879.15125454545455</v>
      </c>
      <c r="H22" s="62">
        <f t="shared" si="1"/>
        <v>0.30957011121671268</v>
      </c>
      <c r="I22" s="78">
        <f t="shared" si="2"/>
        <v>9.090909090909105E-2</v>
      </c>
      <c r="J22" s="78" t="s">
        <v>181</v>
      </c>
      <c r="K22" s="61">
        <f>'výchozí model T'!H21+'výchozí model A'!H22</f>
        <v>790.78977346921317</v>
      </c>
      <c r="L22" s="62">
        <f t="shared" si="3"/>
        <v>0.29276105734059832</v>
      </c>
    </row>
    <row r="23" spans="2:12">
      <c r="B23" s="247"/>
      <c r="C23" s="53" t="s">
        <v>17</v>
      </c>
      <c r="D23" s="53">
        <v>15</v>
      </c>
      <c r="E23" s="61">
        <f>'výchozí model T'!D22+'výchozí model A'!D23</f>
        <v>3318.1975499999999</v>
      </c>
      <c r="F23" s="62">
        <f t="shared" si="0"/>
        <v>1.1684164462958333</v>
      </c>
      <c r="G23" s="61">
        <f>'výchozí model T'!F22+'výchozí model A'!F23</f>
        <v>3619.8518727272731</v>
      </c>
      <c r="H23" s="62">
        <f t="shared" si="1"/>
        <v>1.2746361232318184</v>
      </c>
      <c r="I23" s="78">
        <f t="shared" si="2"/>
        <v>9.090909090909105E-2</v>
      </c>
      <c r="J23" s="78" t="s">
        <v>181</v>
      </c>
      <c r="K23" s="61">
        <f>'výchozí model T'!H22+'výchozí model A'!H23</f>
        <v>3619.8518727272731</v>
      </c>
      <c r="L23" s="62">
        <f t="shared" si="3"/>
        <v>1.3401180657999991</v>
      </c>
    </row>
    <row r="24" spans="2:12">
      <c r="B24" s="248"/>
      <c r="C24" s="53" t="s">
        <v>18</v>
      </c>
      <c r="D24" s="53">
        <v>16</v>
      </c>
      <c r="E24" s="61">
        <f>'výchozí model T'!D23+'výchozí model A'!D24</f>
        <v>14429.184369999999</v>
      </c>
      <c r="F24" s="62">
        <f t="shared" si="0"/>
        <v>5.080859734991602</v>
      </c>
      <c r="G24" s="61">
        <f>'výchozí model T'!F23+'výchozí model A'!F24</f>
        <v>15740.928403636364</v>
      </c>
      <c r="H24" s="62">
        <f t="shared" si="1"/>
        <v>5.5427560745362934</v>
      </c>
      <c r="I24" s="78">
        <f t="shared" si="2"/>
        <v>9.090909090909105E-2</v>
      </c>
      <c r="J24" s="78" t="s">
        <v>181</v>
      </c>
      <c r="K24" s="61">
        <f>'výchozí model T'!H23+'výchozí model A'!H24</f>
        <v>15740.928403636364</v>
      </c>
      <c r="L24" s="62">
        <f t="shared" si="3"/>
        <v>5.827504347652833</v>
      </c>
    </row>
    <row r="25" spans="2:12">
      <c r="B25" s="227" t="s">
        <v>33</v>
      </c>
      <c r="C25" s="228"/>
      <c r="D25" s="54">
        <v>17</v>
      </c>
      <c r="E25" s="63">
        <f>SUM(E9:E24)</f>
        <v>140447.31140999997</v>
      </c>
      <c r="F25" s="64">
        <f>SUM(F9:F24)</f>
        <v>49.454845896524887</v>
      </c>
      <c r="G25" s="63">
        <f t="shared" ref="G25:K25" si="4">SUM(G9:G24)</f>
        <v>156623.15431485564</v>
      </c>
      <c r="H25" s="64">
        <f t="shared" si="4"/>
        <v>55.150745733088598</v>
      </c>
      <c r="I25" s="82"/>
      <c r="J25" s="82"/>
      <c r="K25" s="63">
        <f t="shared" si="4"/>
        <v>149037.57644018697</v>
      </c>
      <c r="L25" s="64">
        <f t="shared" si="3"/>
        <v>55.175724226545107</v>
      </c>
    </row>
    <row r="26" spans="2:12">
      <c r="B26" s="235" t="s">
        <v>36</v>
      </c>
      <c r="C26" s="53" t="s">
        <v>19</v>
      </c>
      <c r="D26" s="53">
        <v>18</v>
      </c>
      <c r="E26" s="61">
        <f>'výchozí model T'!D25+'výchozí model A'!D26</f>
        <v>46945.34476</v>
      </c>
      <c r="F26" s="62">
        <f t="shared" si="0"/>
        <v>16.530574828075537</v>
      </c>
      <c r="G26" s="61">
        <f>'výchozí model T'!F25+'výchozí model A'!F26</f>
        <v>51213.103374545462</v>
      </c>
      <c r="H26" s="62">
        <f>G26/$G$37</f>
        <v>18.033354357900592</v>
      </c>
      <c r="I26" s="78">
        <f>G26/E26-1</f>
        <v>9.090909090909105E-2</v>
      </c>
      <c r="J26" s="78" t="s">
        <v>181</v>
      </c>
      <c r="K26" s="61">
        <f>'výchozí model T'!H25+'výchozí model A'!H26</f>
        <v>48185.723784809641</v>
      </c>
      <c r="L26" s="62">
        <f t="shared" si="3"/>
        <v>17.839005911869059</v>
      </c>
    </row>
    <row r="27" spans="2:12">
      <c r="B27" s="236"/>
      <c r="C27" s="53" t="s">
        <v>20</v>
      </c>
      <c r="D27" s="53">
        <v>19</v>
      </c>
      <c r="E27" s="61">
        <f>'výchozí model T'!D26+'výchozí model A'!D27</f>
        <v>0</v>
      </c>
      <c r="F27" s="62">
        <f t="shared" si="0"/>
        <v>0</v>
      </c>
      <c r="G27" s="61">
        <f>'výchozí model T'!F26+'výchozí model A'!F27</f>
        <v>0</v>
      </c>
      <c r="H27" s="62">
        <f t="shared" ref="H27:H28" si="5">G27/$G$37</f>
        <v>0</v>
      </c>
      <c r="I27" s="78">
        <v>0</v>
      </c>
      <c r="J27" s="78" t="s">
        <v>181</v>
      </c>
      <c r="K27" s="61">
        <f>'výchozí model T'!H26+'výchozí model A'!H27</f>
        <v>0</v>
      </c>
      <c r="L27" s="62">
        <f t="shared" si="3"/>
        <v>0</v>
      </c>
    </row>
    <row r="28" spans="2:12">
      <c r="B28" s="237"/>
      <c r="C28" s="55" t="s">
        <v>21</v>
      </c>
      <c r="D28" s="53">
        <v>20</v>
      </c>
      <c r="E28" s="61">
        <f>'výchozí model T'!D27+'výchozí model A'!D28</f>
        <v>3609.4585099999999</v>
      </c>
      <c r="F28" s="62">
        <f t="shared" si="0"/>
        <v>1.2709763724906775</v>
      </c>
      <c r="G28" s="61">
        <f>'výchozí model T'!F27+'výchozí model A'!F28</f>
        <v>3937.5911018181823</v>
      </c>
      <c r="H28" s="62">
        <f t="shared" si="5"/>
        <v>1.3865196790807393</v>
      </c>
      <c r="I28" s="78">
        <f t="shared" si="2"/>
        <v>9.090909090909105E-2</v>
      </c>
      <c r="J28" s="78" t="s">
        <v>181</v>
      </c>
      <c r="K28" s="61">
        <f>'výchozí model T'!H27+'výchozí model A'!H28</f>
        <v>3754.0989909668597</v>
      </c>
      <c r="L28" s="62">
        <f t="shared" si="3"/>
        <v>1.389818162588466</v>
      </c>
    </row>
    <row r="29" spans="2:12">
      <c r="B29" s="227" t="s">
        <v>37</v>
      </c>
      <c r="C29" s="228"/>
      <c r="D29" s="56">
        <v>21</v>
      </c>
      <c r="E29" s="63">
        <f>SUM(E26:E28)</f>
        <v>50554.803269999997</v>
      </c>
      <c r="F29" s="64">
        <f>SUM(F26:F28)</f>
        <v>17.801551200566216</v>
      </c>
      <c r="G29" s="63">
        <f t="shared" ref="G29:K29" si="6">SUM(G26:G28)</f>
        <v>55150.694476363642</v>
      </c>
      <c r="H29" s="64">
        <f t="shared" si="6"/>
        <v>19.41987403698133</v>
      </c>
      <c r="I29" s="82"/>
      <c r="J29" s="82"/>
      <c r="K29" s="63">
        <f t="shared" si="6"/>
        <v>51939.822775776498</v>
      </c>
      <c r="L29" s="64">
        <f t="shared" si="3"/>
        <v>19.228824074457524</v>
      </c>
    </row>
    <row r="30" spans="2:12">
      <c r="B30" s="233" t="s">
        <v>22</v>
      </c>
      <c r="C30" s="234"/>
      <c r="D30" s="53">
        <v>22</v>
      </c>
      <c r="E30" s="61">
        <f>'výchozí model T'!D29+'výchozí model A'!D30</f>
        <v>173543.73699999999</v>
      </c>
      <c r="F30" s="62">
        <f t="shared" si="0"/>
        <v>61.108886197097796</v>
      </c>
      <c r="G30" s="65">
        <f>'výchozí model T'!F29+'výchozí model A'!F30</f>
        <v>159909.91899999999</v>
      </c>
      <c r="H30" s="66">
        <f>G30/$G$37</f>
        <v>56.308093918469247</v>
      </c>
      <c r="I30" s="82"/>
      <c r="J30" s="82"/>
      <c r="K30" s="65">
        <f>'výchozí model T'!H29+'výchozí model A'!H30</f>
        <v>159909.91899999999</v>
      </c>
      <c r="L30" s="66">
        <f t="shared" si="3"/>
        <v>59.200812322482612</v>
      </c>
    </row>
    <row r="31" spans="2:12">
      <c r="B31" s="227" t="s">
        <v>23</v>
      </c>
      <c r="C31" s="228"/>
      <c r="D31" s="54">
        <v>23</v>
      </c>
      <c r="E31" s="63">
        <f>'výchozí model T'!D30+'výchozí model A'!D31</f>
        <v>1735.4373699999999</v>
      </c>
      <c r="F31" s="62">
        <f t="shared" si="0"/>
        <v>0.61108886197097789</v>
      </c>
      <c r="G31" s="61">
        <f>'výchozí model T'!F30+'výchozí model A'!F31</f>
        <v>1599.0991900000001</v>
      </c>
      <c r="H31" s="62">
        <f t="shared" ref="H31:H32" si="7">G31/$G$37</f>
        <v>0.5630809391846926</v>
      </c>
      <c r="I31" s="82"/>
      <c r="J31" s="82"/>
      <c r="K31" s="61">
        <f>'výchozí model T'!H30+'výchozí model A'!H31</f>
        <v>1599.0991900000001</v>
      </c>
      <c r="L31" s="62">
        <f t="shared" si="3"/>
        <v>0.59200812322482621</v>
      </c>
    </row>
    <row r="32" spans="2:12">
      <c r="B32" s="227" t="s">
        <v>142</v>
      </c>
      <c r="C32" s="228"/>
      <c r="D32" s="54">
        <v>24</v>
      </c>
      <c r="E32" s="63">
        <f>E25-E29+E31</f>
        <v>91627.945509999961</v>
      </c>
      <c r="F32" s="64">
        <f t="shared" si="0"/>
        <v>32.264383557929641</v>
      </c>
      <c r="G32" s="67">
        <f>G25-G29+G31</f>
        <v>103071.55902849199</v>
      </c>
      <c r="H32" s="68">
        <f t="shared" si="7"/>
        <v>36.293952635291959</v>
      </c>
      <c r="I32" s="82"/>
      <c r="J32" s="82"/>
      <c r="K32" s="69">
        <f>K25-K29+K31</f>
        <v>98696.852854410463</v>
      </c>
      <c r="L32" s="70">
        <f>K32/$K$37</f>
        <v>36.538908275312409</v>
      </c>
    </row>
    <row r="33" spans="2:12">
      <c r="B33" s="233" t="s">
        <v>25</v>
      </c>
      <c r="C33" s="234"/>
      <c r="D33" s="53">
        <v>25</v>
      </c>
      <c r="E33" s="71"/>
      <c r="F33" s="71"/>
      <c r="G33" s="71"/>
      <c r="H33" s="71"/>
      <c r="I33" s="78"/>
      <c r="J33" s="78"/>
      <c r="K33" s="71"/>
      <c r="L33" s="71"/>
    </row>
    <row r="34" spans="2:12">
      <c r="B34" s="233" t="s">
        <v>26</v>
      </c>
      <c r="C34" s="234"/>
      <c r="D34" s="53">
        <v>26</v>
      </c>
      <c r="E34" s="71"/>
      <c r="F34" s="71"/>
      <c r="G34" s="71"/>
      <c r="H34" s="71"/>
      <c r="I34" s="78"/>
      <c r="J34" s="78"/>
      <c r="K34" s="71"/>
      <c r="L34" s="71"/>
    </row>
    <row r="37" spans="2:12" ht="15">
      <c r="B37" s="227" t="s">
        <v>143</v>
      </c>
      <c r="C37" s="228"/>
      <c r="D37" s="54"/>
      <c r="E37" s="57" cm="1">
        <f t="array" ref="E37:F37">'výchozí model T'!D35:E35+'výchozí model A'!D36:E36</f>
        <v>2839.91</v>
      </c>
      <c r="F37" s="25">
        <v>0</v>
      </c>
      <c r="G37" s="57" cm="1">
        <f t="array" ref="G37:H37">'výchozí model T'!F35:G35+'výchozí model A'!F36:G36</f>
        <v>2839.91</v>
      </c>
      <c r="H37" s="25">
        <v>0</v>
      </c>
      <c r="I37" s="25"/>
      <c r="J37" s="25"/>
      <c r="K37" s="57" cm="1">
        <f t="array" ref="K37:L37">'výchozí model T'!H35:I35+'výchozí model A'!H36:I36</f>
        <v>2701.1440000000002</v>
      </c>
      <c r="L37" s="25">
        <v>0</v>
      </c>
    </row>
    <row r="39" spans="2:12">
      <c r="K39" s="24"/>
    </row>
    <row r="40" spans="2:12">
      <c r="K40" s="24"/>
    </row>
    <row r="41" spans="2:12">
      <c r="K41" s="24"/>
    </row>
    <row r="42" spans="2:12">
      <c r="K42" s="24"/>
    </row>
    <row r="43" spans="2:12">
      <c r="K43" s="24"/>
    </row>
    <row r="44" spans="2:12">
      <c r="K44" s="24"/>
    </row>
    <row r="45" spans="2:12">
      <c r="K45" s="24"/>
    </row>
    <row r="46" spans="2:12">
      <c r="K46" s="24"/>
    </row>
  </sheetData>
  <mergeCells count="17">
    <mergeCell ref="B2:H2"/>
    <mergeCell ref="B7:C8"/>
    <mergeCell ref="D7:D8"/>
    <mergeCell ref="B9:B24"/>
    <mergeCell ref="B25:C25"/>
    <mergeCell ref="K7:L7"/>
    <mergeCell ref="B37:C37"/>
    <mergeCell ref="E7:F7"/>
    <mergeCell ref="G7:H7"/>
    <mergeCell ref="B29:C29"/>
    <mergeCell ref="B30:C30"/>
    <mergeCell ref="B31:C31"/>
    <mergeCell ref="B32:C32"/>
    <mergeCell ref="B33:C33"/>
    <mergeCell ref="B34:C34"/>
    <mergeCell ref="B26:B28"/>
    <mergeCell ref="I7:J7"/>
  </mergeCells>
  <phoneticPr fontId="23" type="noConversion"/>
  <pageMargins left="0.7" right="0.7" top="0.78740157499999996" bottom="0.78740157499999996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36"/>
  <sheetViews>
    <sheetView workbookViewId="0">
      <pane xSplit="3" ySplit="8" topLeftCell="D9" activePane="bottomRight" state="frozen"/>
      <selection activeCell="H11" sqref="H11"/>
      <selection pane="topRight" activeCell="H11" sqref="H11"/>
      <selection pane="bottomLeft" activeCell="H11" sqref="H11"/>
      <selection pane="bottomRight" activeCell="H34" sqref="H34"/>
    </sheetView>
  </sheetViews>
  <sheetFormatPr defaultColWidth="8.75" defaultRowHeight="14.25"/>
  <cols>
    <col min="1" max="1" width="8.75" style="4"/>
    <col min="2" max="2" width="27.375" style="4" bestFit="1" customWidth="1"/>
    <col min="3" max="3" width="8.75" style="4"/>
    <col min="4" max="9" width="12.625" style="4" customWidth="1"/>
    <col min="10" max="16384" width="8.75" style="4"/>
  </cols>
  <sheetData>
    <row r="1" spans="1:11" ht="15.75">
      <c r="A1" s="251" t="s">
        <v>29</v>
      </c>
      <c r="B1" s="252"/>
      <c r="C1" s="252"/>
      <c r="D1" s="252"/>
      <c r="E1" s="252"/>
      <c r="I1" s="93" t="s">
        <v>82</v>
      </c>
    </row>
    <row r="2" spans="1:11">
      <c r="A2" s="29"/>
      <c r="B2" s="29"/>
      <c r="C2" s="29"/>
      <c r="D2" s="29"/>
      <c r="E2" s="29"/>
    </row>
    <row r="3" spans="1:11">
      <c r="A3" s="29" t="s">
        <v>0</v>
      </c>
      <c r="B3" s="29"/>
      <c r="C3" s="29"/>
      <c r="D3" s="29"/>
      <c r="E3" s="29"/>
    </row>
    <row r="4" spans="1:11">
      <c r="A4" s="29" t="s">
        <v>1</v>
      </c>
      <c r="B4" s="29"/>
      <c r="C4" s="29"/>
      <c r="D4" s="29" t="s">
        <v>32</v>
      </c>
      <c r="E4" s="29"/>
    </row>
    <row r="5" spans="1:11">
      <c r="A5" s="29" t="s">
        <v>199</v>
      </c>
      <c r="B5" s="30"/>
      <c r="C5" s="30"/>
      <c r="D5" s="29"/>
      <c r="E5" s="29"/>
    </row>
    <row r="6" spans="1:11">
      <c r="A6" s="29"/>
      <c r="B6" s="29"/>
      <c r="C6" s="29"/>
      <c r="D6" s="29"/>
      <c r="E6" s="29"/>
    </row>
    <row r="7" spans="1:11">
      <c r="A7" s="253" t="s">
        <v>2</v>
      </c>
      <c r="B7" s="254"/>
      <c r="C7" s="255" t="s">
        <v>3</v>
      </c>
      <c r="D7" s="229" t="s">
        <v>135</v>
      </c>
      <c r="E7" s="230"/>
      <c r="F7" s="231" t="s">
        <v>195</v>
      </c>
      <c r="G7" s="232"/>
      <c r="H7" s="225" t="s">
        <v>197</v>
      </c>
      <c r="I7" s="226"/>
    </row>
    <row r="8" spans="1:11">
      <c r="A8" s="254"/>
      <c r="B8" s="254"/>
      <c r="C8" s="255"/>
      <c r="D8" s="31" t="s">
        <v>31</v>
      </c>
      <c r="E8" s="32" t="s">
        <v>136</v>
      </c>
      <c r="F8" s="45" t="s">
        <v>80</v>
      </c>
      <c r="G8" s="45" t="s">
        <v>136</v>
      </c>
      <c r="H8" s="47" t="s">
        <v>80</v>
      </c>
      <c r="I8" s="47" t="s">
        <v>136</v>
      </c>
    </row>
    <row r="9" spans="1:11">
      <c r="A9" s="256" t="s">
        <v>30</v>
      </c>
      <c r="B9" s="33" t="s">
        <v>4</v>
      </c>
      <c r="C9" s="33">
        <v>1</v>
      </c>
      <c r="D9" s="34">
        <v>6342.5713900000001</v>
      </c>
      <c r="E9" s="35">
        <f>D9/$D$35</f>
        <v>5.2403047315473943</v>
      </c>
      <c r="F9" s="34">
        <f>D9*'index PHM a energie'!$B$31</f>
        <v>8905.8597161371636</v>
      </c>
      <c r="G9" s="35">
        <f>F9/$F$35</f>
        <v>7.3581227453824392</v>
      </c>
      <c r="H9" s="84">
        <f>F9*'změna výkonu '!$D$6</f>
        <v>7909.1725577841307</v>
      </c>
      <c r="I9" s="35">
        <f>H9/$H$35</f>
        <v>7.3581227453824392</v>
      </c>
    </row>
    <row r="10" spans="1:11">
      <c r="A10" s="257"/>
      <c r="B10" s="33" t="s">
        <v>5</v>
      </c>
      <c r="C10" s="33">
        <v>2</v>
      </c>
      <c r="D10" s="34">
        <v>192.47332999999998</v>
      </c>
      <c r="E10" s="35">
        <f t="shared" ref="E10:E28" si="0">D10/$D$35</f>
        <v>0.15902365773697391</v>
      </c>
      <c r="F10" s="34">
        <f>D10*'index bazický'!$C$9</f>
        <v>209.97090545454546</v>
      </c>
      <c r="G10" s="35">
        <f t="shared" ref="G10:G31" si="1">F10/$F$35</f>
        <v>0.17348035389488067</v>
      </c>
      <c r="H10" s="34">
        <f>F10</f>
        <v>209.97090545454546</v>
      </c>
      <c r="I10" s="35">
        <f t="shared" ref="I10:I31" si="2">H10/$H$35</f>
        <v>0.19534176097511879</v>
      </c>
      <c r="K10" s="91"/>
    </row>
    <row r="11" spans="1:11">
      <c r="A11" s="257"/>
      <c r="B11" s="33" t="s">
        <v>6</v>
      </c>
      <c r="C11" s="33">
        <v>3</v>
      </c>
      <c r="D11" s="34">
        <v>1086.90464</v>
      </c>
      <c r="E11" s="35">
        <f t="shared" si="0"/>
        <v>0.89801299465275986</v>
      </c>
      <c r="F11" s="34">
        <f>D11*'index bazický'!$C$9</f>
        <v>1185.7141527272729</v>
      </c>
      <c r="G11" s="35">
        <f t="shared" si="1"/>
        <v>0.97965053962119275</v>
      </c>
      <c r="H11" s="84">
        <f>F11*'změna výkonu '!$D$6</f>
        <v>1053.0165685334239</v>
      </c>
      <c r="I11" s="35">
        <f t="shared" si="2"/>
        <v>0.97965053962119264</v>
      </c>
    </row>
    <row r="12" spans="1:11">
      <c r="A12" s="257"/>
      <c r="B12" s="33" t="s">
        <v>7</v>
      </c>
      <c r="C12" s="33">
        <v>4</v>
      </c>
      <c r="D12" s="34">
        <v>8186.1937399999997</v>
      </c>
      <c r="E12" s="35">
        <f t="shared" si="0"/>
        <v>6.76352651808081</v>
      </c>
      <c r="F12" s="34">
        <f>D12*'index bazický'!$C$9</f>
        <v>8930.3931709090921</v>
      </c>
      <c r="G12" s="35">
        <f t="shared" si="1"/>
        <v>7.3783925651790661</v>
      </c>
      <c r="H12" s="77">
        <f>(0.75*'změna výkonu '!$D$6*'výchozí model T'!F12)+((1-0.75)*'výchozí model T'!F12)</f>
        <v>8180.8185810162686</v>
      </c>
      <c r="I12" s="35">
        <f t="shared" si="2"/>
        <v>7.6108425801861284</v>
      </c>
    </row>
    <row r="13" spans="1:11">
      <c r="A13" s="257"/>
      <c r="B13" s="33" t="s">
        <v>8</v>
      </c>
      <c r="C13" s="33">
        <v>5</v>
      </c>
      <c r="D13" s="34">
        <v>10749.241</v>
      </c>
      <c r="E13" s="35">
        <f t="shared" si="0"/>
        <v>8.8811453603273112</v>
      </c>
      <c r="F13" s="34">
        <f>D13*'index bazický'!$C$9</f>
        <v>11726.444727272728</v>
      </c>
      <c r="G13" s="35">
        <f t="shared" si="1"/>
        <v>9.6885222112661591</v>
      </c>
      <c r="H13" s="77">
        <f>(0.75*F13*'změna výkonu '!$D$6)+((1-0.75)*'výchozí model T'!F13*'změna výkonu '!F22)</f>
        <v>10742.182911569094</v>
      </c>
      <c r="I13" s="35">
        <f t="shared" si="2"/>
        <v>9.9937509062035126</v>
      </c>
    </row>
    <row r="14" spans="1:11">
      <c r="A14" s="257"/>
      <c r="B14" s="33" t="s">
        <v>9</v>
      </c>
      <c r="C14" s="33">
        <v>6</v>
      </c>
      <c r="D14" s="34">
        <v>0</v>
      </c>
      <c r="E14" s="35">
        <f t="shared" si="0"/>
        <v>0</v>
      </c>
      <c r="F14" s="34">
        <f>D14*'index bazický'!$C$9</f>
        <v>0</v>
      </c>
      <c r="G14" s="35">
        <f t="shared" si="1"/>
        <v>0</v>
      </c>
      <c r="H14" s="34">
        <f>F14</f>
        <v>0</v>
      </c>
      <c r="I14" s="35">
        <f t="shared" si="2"/>
        <v>0</v>
      </c>
    </row>
    <row r="15" spans="1:11">
      <c r="A15" s="257"/>
      <c r="B15" s="33" t="s">
        <v>10</v>
      </c>
      <c r="C15" s="33">
        <v>7</v>
      </c>
      <c r="D15" s="34">
        <v>24120.286199999999</v>
      </c>
      <c r="E15" s="35">
        <f t="shared" si="0"/>
        <v>19.928455216037751</v>
      </c>
      <c r="F15" s="34">
        <f>D15/100*'index mzdy'!B11</f>
        <v>27464.961446811154</v>
      </c>
      <c r="G15" s="35">
        <f t="shared" si="1"/>
        <v>22.691864004622779</v>
      </c>
      <c r="H15" s="84">
        <f>F15*'změna výkonu '!$D$6</f>
        <v>24391.257699928981</v>
      </c>
      <c r="I15" s="35">
        <f t="shared" si="2"/>
        <v>22.691864004622779</v>
      </c>
    </row>
    <row r="16" spans="1:11">
      <c r="A16" s="257"/>
      <c r="B16" s="33" t="s">
        <v>11</v>
      </c>
      <c r="C16" s="33">
        <v>8</v>
      </c>
      <c r="D16" s="34">
        <v>8079.5692499999996</v>
      </c>
      <c r="E16" s="35">
        <f t="shared" si="0"/>
        <v>6.6754321498681364</v>
      </c>
      <c r="F16" s="34">
        <f>D16/100*'index mzdy'!C22</f>
        <v>9145.8174359369405</v>
      </c>
      <c r="G16" s="35">
        <f t="shared" si="1"/>
        <v>7.5563785468734013</v>
      </c>
      <c r="H16" s="84">
        <f>F16*'změna výkonu '!$D$6</f>
        <v>8122.2757362487509</v>
      </c>
      <c r="I16" s="35">
        <f t="shared" si="2"/>
        <v>7.5563785468734013</v>
      </c>
    </row>
    <row r="17" spans="1:9">
      <c r="A17" s="257"/>
      <c r="B17" s="33" t="s">
        <v>12</v>
      </c>
      <c r="C17" s="33">
        <v>9</v>
      </c>
      <c r="D17" s="34">
        <v>13.987159999999999</v>
      </c>
      <c r="E17" s="35">
        <f t="shared" si="0"/>
        <v>1.1556350921721427E-2</v>
      </c>
      <c r="F17" s="34">
        <f>D17*'index bazický'!$C$9</f>
        <v>15.258720000000002</v>
      </c>
      <c r="G17" s="35">
        <f t="shared" si="1"/>
        <v>1.2606928278241558E-2</v>
      </c>
      <c r="H17" s="34">
        <f>F17</f>
        <v>15.258720000000002</v>
      </c>
      <c r="I17" s="35">
        <f t="shared" si="2"/>
        <v>1.4195610713654421E-2</v>
      </c>
    </row>
    <row r="18" spans="1:9">
      <c r="A18" s="257"/>
      <c r="B18" s="33" t="s">
        <v>13</v>
      </c>
      <c r="C18" s="33">
        <v>10</v>
      </c>
      <c r="D18" s="34">
        <v>37.409999999999997</v>
      </c>
      <c r="E18" s="35">
        <f t="shared" si="0"/>
        <v>3.0908568142610691E-2</v>
      </c>
      <c r="F18" s="34">
        <f>D18*'index bazický'!$C$9</f>
        <v>40.810909090909092</v>
      </c>
      <c r="G18" s="35">
        <f t="shared" si="1"/>
        <v>3.371843797375712E-2</v>
      </c>
      <c r="H18" s="34">
        <f>F18</f>
        <v>40.810909090909092</v>
      </c>
      <c r="I18" s="35">
        <f t="shared" si="2"/>
        <v>3.7967521412339021E-2</v>
      </c>
    </row>
    <row r="19" spans="1:9">
      <c r="A19" s="257"/>
      <c r="B19" s="33" t="s">
        <v>14</v>
      </c>
      <c r="C19" s="33">
        <v>11</v>
      </c>
      <c r="D19" s="34">
        <v>0</v>
      </c>
      <c r="E19" s="35">
        <f t="shared" si="0"/>
        <v>0</v>
      </c>
      <c r="F19" s="34">
        <f>D19*'index bazický'!$C$9</f>
        <v>0</v>
      </c>
      <c r="G19" s="35">
        <f t="shared" si="1"/>
        <v>0</v>
      </c>
      <c r="H19" s="34">
        <f>F19</f>
        <v>0</v>
      </c>
      <c r="I19" s="35">
        <f t="shared" si="2"/>
        <v>0</v>
      </c>
    </row>
    <row r="20" spans="1:9">
      <c r="A20" s="257"/>
      <c r="B20" s="33" t="s">
        <v>15</v>
      </c>
      <c r="C20" s="33">
        <v>12</v>
      </c>
      <c r="D20" s="34">
        <v>4499.5437399999992</v>
      </c>
      <c r="E20" s="35">
        <f t="shared" si="0"/>
        <v>3.7175742929282904</v>
      </c>
      <c r="F20" s="34">
        <f>D20*'index bazický'!$C$9</f>
        <v>4908.593170909091</v>
      </c>
      <c r="G20" s="35">
        <f t="shared" si="1"/>
        <v>4.0555355922854091</v>
      </c>
      <c r="H20" s="77">
        <f>(0.75*'změna výkonu '!$D$6*'výchozí model T'!F20)+((1-0.75)*'výchozí model T'!F20)</f>
        <v>4496.5892823210197</v>
      </c>
      <c r="I20" s="35">
        <f t="shared" si="2"/>
        <v>4.1833018097861352</v>
      </c>
    </row>
    <row r="21" spans="1:9">
      <c r="A21" s="257"/>
      <c r="B21" s="33" t="s">
        <v>16</v>
      </c>
      <c r="C21" s="33">
        <v>13</v>
      </c>
      <c r="D21" s="34">
        <v>805.88864999999987</v>
      </c>
      <c r="E21" s="35">
        <f t="shared" si="0"/>
        <v>0.66583438262179995</v>
      </c>
      <c r="F21" s="34">
        <f>D21*'index bazický'!$C$9</f>
        <v>879.15125454545455</v>
      </c>
      <c r="G21" s="35">
        <f t="shared" si="1"/>
        <v>0.72636478104196367</v>
      </c>
      <c r="H21" s="77">
        <f>(0.75*'změna výkonu '!$B$17*'výchozí model T'!F21)+((1-0.75)*('změna výkonu '!$B$15/'změna výkonu '!$B$16)*'výchozí model T'!F21)</f>
        <v>790.78977346921317</v>
      </c>
      <c r="I21" s="35">
        <f t="shared" si="2"/>
        <v>0.73569367420779164</v>
      </c>
    </row>
    <row r="22" spans="1:9">
      <c r="A22" s="257"/>
      <c r="B22" s="33" t="s">
        <v>17</v>
      </c>
      <c r="C22" s="33">
        <v>14</v>
      </c>
      <c r="D22" s="34">
        <v>1397.5721099999998</v>
      </c>
      <c r="E22" s="35">
        <f t="shared" si="0"/>
        <v>1.1546899972239295</v>
      </c>
      <c r="F22" s="34">
        <f>D22*'index bazický'!$C$9</f>
        <v>1524.6241199999999</v>
      </c>
      <c r="G22" s="35">
        <f t="shared" si="1"/>
        <v>1.2596618151533778</v>
      </c>
      <c r="H22" s="83">
        <f>F22</f>
        <v>1524.6241199999999</v>
      </c>
      <c r="I22" s="35">
        <f t="shared" si="2"/>
        <v>1.4184001339671966</v>
      </c>
    </row>
    <row r="23" spans="1:9">
      <c r="A23" s="258"/>
      <c r="B23" s="33" t="s">
        <v>18</v>
      </c>
      <c r="C23" s="33">
        <v>15</v>
      </c>
      <c r="D23" s="34">
        <v>7546.9012399999992</v>
      </c>
      <c r="E23" s="35">
        <f t="shared" si="0"/>
        <v>6.2353357723093588</v>
      </c>
      <c r="F23" s="34">
        <f>D23*'index bazický'!$C$9</f>
        <v>8232.9831709090904</v>
      </c>
      <c r="G23" s="35">
        <f t="shared" si="1"/>
        <v>6.8021844788829373</v>
      </c>
      <c r="H23" s="83">
        <f>F23</f>
        <v>8232.9831709090904</v>
      </c>
      <c r="I23" s="35">
        <f t="shared" si="2"/>
        <v>7.6593727459638563</v>
      </c>
    </row>
    <row r="24" spans="1:9">
      <c r="A24" s="259" t="s">
        <v>33</v>
      </c>
      <c r="B24" s="260"/>
      <c r="C24" s="36">
        <v>16</v>
      </c>
      <c r="D24" s="37">
        <v>73058.542450000008</v>
      </c>
      <c r="E24" s="35">
        <f t="shared" si="0"/>
        <v>60.361799992398858</v>
      </c>
      <c r="F24" s="37">
        <f>SUM(F9:F23)</f>
        <v>83170.582900703448</v>
      </c>
      <c r="G24" s="35">
        <f t="shared" si="1"/>
        <v>68.716483000455611</v>
      </c>
      <c r="H24" s="37">
        <f>SUM(H9:H23)</f>
        <v>75709.750936325421</v>
      </c>
      <c r="I24" s="35">
        <f t="shared" si="2"/>
        <v>70.434882579915538</v>
      </c>
    </row>
    <row r="25" spans="1:9">
      <c r="A25" s="261" t="s">
        <v>36</v>
      </c>
      <c r="B25" s="33" t="s">
        <v>19</v>
      </c>
      <c r="C25" s="33">
        <v>17</v>
      </c>
      <c r="D25" s="34">
        <v>29484.39731</v>
      </c>
      <c r="E25" s="35">
        <f t="shared" si="0"/>
        <v>24.360344918469458</v>
      </c>
      <c r="F25" s="34">
        <f>D25*'index bazický'!$C$9</f>
        <v>32164.79706545455</v>
      </c>
      <c r="G25" s="35">
        <f t="shared" si="1"/>
        <v>26.574921729239414</v>
      </c>
      <c r="H25" s="77">
        <f>(0.75*'změna výkonu '!$B$17*'výchozí model T'!F25)+((1-0.75)*('změna výkonu '!$B$15/'změna výkonu '!$B$16)*'výchozí model T'!F25)</f>
        <v>28931.986906195023</v>
      </c>
      <c r="I25" s="35">
        <f t="shared" si="2"/>
        <v>26.916230410735071</v>
      </c>
    </row>
    <row r="26" spans="1:9">
      <c r="A26" s="262"/>
      <c r="B26" s="33" t="s">
        <v>20</v>
      </c>
      <c r="C26" s="33">
        <v>18</v>
      </c>
      <c r="D26" s="34">
        <v>0</v>
      </c>
      <c r="E26" s="35">
        <f t="shared" si="0"/>
        <v>0</v>
      </c>
      <c r="F26" s="34">
        <f>D26*'index bazický'!$C$9</f>
        <v>0</v>
      </c>
      <c r="G26" s="35">
        <f t="shared" si="1"/>
        <v>0</v>
      </c>
      <c r="H26" s="77">
        <f>(0.75*'změna výkonu '!$B$17*'výchozí model T'!F26)+((1-0.75)*('změna výkonu '!$B$15*'změna výkonu '!$B$16)*'výchozí model T'!F26)</f>
        <v>0</v>
      </c>
      <c r="I26" s="35">
        <f t="shared" si="2"/>
        <v>0</v>
      </c>
    </row>
    <row r="27" spans="1:9">
      <c r="A27" s="263"/>
      <c r="B27" s="38" t="s">
        <v>21</v>
      </c>
      <c r="C27" s="33">
        <v>19</v>
      </c>
      <c r="D27" s="34">
        <v>1964.0978299999999</v>
      </c>
      <c r="E27" s="35">
        <f t="shared" si="0"/>
        <v>1.6227600004626783</v>
      </c>
      <c r="F27" s="34">
        <f>D27*'index bazický'!$C$9</f>
        <v>2142.6521781818183</v>
      </c>
      <c r="G27" s="35">
        <f t="shared" si="1"/>
        <v>1.7702836368683763</v>
      </c>
      <c r="H27" s="77">
        <f>(0.75*'změna výkonu '!$D$6*'výchozí model T'!F27)+((1-0.75)*'výchozí model T'!F27)</f>
        <v>1962.8081783705416</v>
      </c>
      <c r="I27" s="35">
        <f t="shared" si="2"/>
        <v>1.8260549250346931</v>
      </c>
    </row>
    <row r="28" spans="1:9">
      <c r="A28" s="259" t="s">
        <v>37</v>
      </c>
      <c r="B28" s="260"/>
      <c r="C28" s="39">
        <v>20</v>
      </c>
      <c r="D28" s="37">
        <v>31448.495139999999</v>
      </c>
      <c r="E28" s="35">
        <f t="shared" si="0"/>
        <v>25.983104918932135</v>
      </c>
      <c r="F28" s="37">
        <f>SUM(F25:F27)</f>
        <v>34307.449243636365</v>
      </c>
      <c r="G28" s="35">
        <f t="shared" si="1"/>
        <v>28.345205366107788</v>
      </c>
      <c r="H28" s="37">
        <f>SUM(H25:H27)</f>
        <v>30894.795084565565</v>
      </c>
      <c r="I28" s="35">
        <f t="shared" si="2"/>
        <v>28.742285335769765</v>
      </c>
    </row>
    <row r="29" spans="1:9">
      <c r="A29" s="249" t="s">
        <v>22</v>
      </c>
      <c r="B29" s="250"/>
      <c r="C29" s="33">
        <v>21</v>
      </c>
      <c r="D29" s="34">
        <v>140239.978</v>
      </c>
      <c r="E29" s="35"/>
      <c r="F29" s="41">
        <f>'Provozní aktiva A+T'!D70/1000</f>
        <v>104402.35950000001</v>
      </c>
      <c r="G29" s="40"/>
      <c r="H29" s="41">
        <f>'Provozní aktiva A+T'!D70/1000</f>
        <v>104402.35950000001</v>
      </c>
      <c r="I29" s="40"/>
    </row>
    <row r="30" spans="1:9">
      <c r="A30" s="259" t="s">
        <v>23</v>
      </c>
      <c r="B30" s="260"/>
      <c r="C30" s="36">
        <v>22</v>
      </c>
      <c r="D30" s="37">
        <v>1402.39978</v>
      </c>
      <c r="E30" s="35"/>
      <c r="F30" s="34">
        <f>F29/100</f>
        <v>1044.0235950000001</v>
      </c>
      <c r="G30" s="35">
        <f t="shared" si="1"/>
        <v>0.86258418680970039</v>
      </c>
      <c r="H30" s="34">
        <f>H29/100</f>
        <v>1044.0235950000001</v>
      </c>
      <c r="I30" s="35">
        <f t="shared" si="2"/>
        <v>0.97128412674785325</v>
      </c>
    </row>
    <row r="31" spans="1:9" s="2" customFormat="1" ht="15">
      <c r="A31" s="259" t="s">
        <v>24</v>
      </c>
      <c r="B31" s="264"/>
      <c r="C31" s="36">
        <v>23</v>
      </c>
      <c r="D31" s="37">
        <v>43012.447090000016</v>
      </c>
      <c r="E31" s="43">
        <f>D31/$D$35</f>
        <v>35.537373746637329</v>
      </c>
      <c r="F31" s="48">
        <f>F24-F28+F30</f>
        <v>49907.157252067082</v>
      </c>
      <c r="G31" s="49">
        <f t="shared" si="1"/>
        <v>41.233861821157525</v>
      </c>
      <c r="H31" s="50">
        <f>H24-H28+H30</f>
        <v>45858.979446759855</v>
      </c>
      <c r="I31" s="51">
        <f t="shared" si="2"/>
        <v>42.663881370893627</v>
      </c>
    </row>
    <row r="32" spans="1:9">
      <c r="A32" s="249" t="s">
        <v>25</v>
      </c>
      <c r="B32" s="250"/>
      <c r="C32" s="33">
        <v>24</v>
      </c>
      <c r="D32" s="34"/>
      <c r="E32" s="42"/>
      <c r="F32" s="34"/>
      <c r="G32" s="42"/>
      <c r="H32" s="34"/>
      <c r="I32" s="42"/>
    </row>
    <row r="33" spans="1:9">
      <c r="A33" s="249" t="s">
        <v>26</v>
      </c>
      <c r="B33" s="250"/>
      <c r="C33" s="33">
        <v>25</v>
      </c>
      <c r="D33" s="34"/>
      <c r="E33" s="42"/>
      <c r="F33" s="34"/>
      <c r="G33" s="42"/>
      <c r="H33" s="34"/>
      <c r="I33" s="42"/>
    </row>
    <row r="34" spans="1:9">
      <c r="A34" s="249"/>
      <c r="B34" s="250"/>
      <c r="C34" s="33"/>
      <c r="D34" s="34"/>
      <c r="E34" s="34"/>
      <c r="F34" s="34"/>
      <c r="G34" s="34"/>
      <c r="H34" s="34"/>
      <c r="I34" s="34"/>
    </row>
    <row r="35" spans="1:9">
      <c r="A35" s="259" t="s">
        <v>27</v>
      </c>
      <c r="B35" s="260"/>
      <c r="C35" s="36">
        <v>26</v>
      </c>
      <c r="D35" s="265">
        <v>1210.3440000000001</v>
      </c>
      <c r="E35" s="266"/>
      <c r="F35" s="265">
        <f>'změna výkonu '!D5/1000</f>
        <v>1210.3440000000001</v>
      </c>
      <c r="G35" s="266"/>
      <c r="H35" s="265">
        <f>'změna výkonu '!D4/1000</f>
        <v>1074.8900000000001</v>
      </c>
      <c r="I35" s="266"/>
    </row>
    <row r="36" spans="1:9">
      <c r="A36" s="267" t="s">
        <v>28</v>
      </c>
      <c r="B36" s="268"/>
      <c r="C36" s="33">
        <v>27</v>
      </c>
      <c r="D36" s="269"/>
      <c r="E36" s="270"/>
      <c r="F36" s="269"/>
      <c r="G36" s="270"/>
      <c r="H36" s="269"/>
      <c r="I36" s="270"/>
    </row>
  </sheetData>
  <mergeCells count="24">
    <mergeCell ref="F35:G35"/>
    <mergeCell ref="H35:I35"/>
    <mergeCell ref="F7:G7"/>
    <mergeCell ref="H7:I7"/>
    <mergeCell ref="F36:G36"/>
    <mergeCell ref="H36:I36"/>
    <mergeCell ref="A34:B34"/>
    <mergeCell ref="A35:B35"/>
    <mergeCell ref="D35:E35"/>
    <mergeCell ref="A36:B36"/>
    <mergeCell ref="D36:E36"/>
    <mergeCell ref="A33:B33"/>
    <mergeCell ref="A32:B32"/>
    <mergeCell ref="A1:E1"/>
    <mergeCell ref="A7:B8"/>
    <mergeCell ref="C7:C8"/>
    <mergeCell ref="D7:E7"/>
    <mergeCell ref="A9:A23"/>
    <mergeCell ref="A24:B24"/>
    <mergeCell ref="A25:A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37"/>
  <sheetViews>
    <sheetView zoomScaleNormal="100" workbookViewId="0">
      <pane xSplit="3" ySplit="8" topLeftCell="D21" activePane="bottomRight" state="frozen"/>
      <selection activeCell="H11" sqref="H11"/>
      <selection pane="topRight" activeCell="H11" sqref="H11"/>
      <selection pane="bottomLeft" activeCell="H11" sqref="H11"/>
      <selection pane="bottomRight" activeCell="H20" sqref="H20"/>
    </sheetView>
  </sheetViews>
  <sheetFormatPr defaultColWidth="8.75" defaultRowHeight="14.25"/>
  <cols>
    <col min="1" max="1" width="8.75" style="4"/>
    <col min="2" max="2" width="27.375" style="4" bestFit="1" customWidth="1"/>
    <col min="3" max="3" width="8.75" style="4"/>
    <col min="4" max="9" width="12.625" style="4" customWidth="1"/>
    <col min="10" max="16384" width="8.75" style="4"/>
  </cols>
  <sheetData>
    <row r="1" spans="1:11" ht="15.75">
      <c r="A1" s="251" t="s">
        <v>35</v>
      </c>
      <c r="B1" s="252"/>
      <c r="C1" s="252"/>
      <c r="D1" s="252"/>
      <c r="E1" s="252"/>
      <c r="I1" s="94" t="s">
        <v>81</v>
      </c>
    </row>
    <row r="2" spans="1:11">
      <c r="A2" s="29"/>
      <c r="B2" s="29"/>
      <c r="C2" s="29"/>
      <c r="D2" s="29"/>
      <c r="E2" s="29"/>
      <c r="F2" s="29"/>
      <c r="G2" s="29"/>
      <c r="H2" s="29"/>
      <c r="I2" s="29"/>
    </row>
    <row r="3" spans="1:11">
      <c r="A3" s="29" t="s">
        <v>0</v>
      </c>
      <c r="B3" s="29"/>
      <c r="C3" s="29"/>
      <c r="D3" s="29"/>
      <c r="E3" s="29"/>
      <c r="F3" s="29"/>
      <c r="G3" s="29"/>
      <c r="H3" s="29"/>
      <c r="I3" s="29"/>
    </row>
    <row r="4" spans="1:11">
      <c r="A4" s="29" t="s">
        <v>1</v>
      </c>
      <c r="B4" s="29"/>
      <c r="C4" s="29"/>
      <c r="D4" s="29" t="s">
        <v>34</v>
      </c>
      <c r="E4" s="29"/>
      <c r="F4" s="29"/>
      <c r="G4" s="29"/>
      <c r="H4" s="29"/>
      <c r="I4" s="29"/>
    </row>
    <row r="5" spans="1:11">
      <c r="A5" s="29" t="s">
        <v>198</v>
      </c>
      <c r="B5" s="30"/>
      <c r="C5" s="30"/>
      <c r="D5" s="29"/>
      <c r="E5" s="29"/>
      <c r="F5" s="29"/>
      <c r="G5" s="29"/>
      <c r="H5" s="29"/>
      <c r="I5" s="29"/>
    </row>
    <row r="6" spans="1:11">
      <c r="A6" s="29"/>
      <c r="B6" s="29"/>
      <c r="C6" s="29"/>
      <c r="D6" s="29"/>
      <c r="E6" s="29"/>
      <c r="F6" s="29"/>
      <c r="G6" s="29"/>
      <c r="H6" s="60"/>
      <c r="I6" s="29"/>
    </row>
    <row r="7" spans="1:11">
      <c r="A7" s="253" t="s">
        <v>2</v>
      </c>
      <c r="B7" s="254"/>
      <c r="C7" s="255" t="s">
        <v>3</v>
      </c>
      <c r="D7" s="229" t="s">
        <v>135</v>
      </c>
      <c r="E7" s="230"/>
      <c r="F7" s="231" t="s">
        <v>195</v>
      </c>
      <c r="G7" s="232"/>
      <c r="H7" s="225" t="s">
        <v>197</v>
      </c>
      <c r="I7" s="226"/>
    </row>
    <row r="8" spans="1:11">
      <c r="A8" s="254"/>
      <c r="B8" s="254"/>
      <c r="C8" s="255"/>
      <c r="D8" s="31" t="s">
        <v>31</v>
      </c>
      <c r="E8" s="32" t="s">
        <v>136</v>
      </c>
      <c r="F8" s="44" t="s">
        <v>80</v>
      </c>
      <c r="G8" s="45" t="s">
        <v>136</v>
      </c>
      <c r="H8" s="46" t="s">
        <v>80</v>
      </c>
      <c r="I8" s="47" t="s">
        <v>136</v>
      </c>
    </row>
    <row r="9" spans="1:11">
      <c r="A9" s="256" t="s">
        <v>30</v>
      </c>
      <c r="B9" s="33" t="s">
        <v>38</v>
      </c>
      <c r="C9" s="33">
        <v>1</v>
      </c>
      <c r="D9" s="34">
        <v>8782.5088999999989</v>
      </c>
      <c r="E9" s="35">
        <f t="shared" ref="E9:E20" si="0">D9/$D$36</f>
        <v>5.3894772595893619</v>
      </c>
      <c r="F9" s="34">
        <f>D9*'index PHM a energie'!F22</f>
        <v>8152.4286760425393</v>
      </c>
      <c r="G9" s="35">
        <f t="shared" ref="G9:G20" si="1">F9/$F$36</f>
        <v>5.0028220250315352</v>
      </c>
      <c r="H9" s="84">
        <f>F9*'změna výkonu '!L6</f>
        <v>8135.8593294956354</v>
      </c>
      <c r="I9" s="35">
        <f t="shared" ref="I9:I20" si="2">H9/$H$36</f>
        <v>5.0028220250315361</v>
      </c>
    </row>
    <row r="10" spans="1:11">
      <c r="A10" s="257"/>
      <c r="B10" s="33" t="s">
        <v>39</v>
      </c>
      <c r="C10" s="33">
        <v>2</v>
      </c>
      <c r="D10" s="34">
        <v>1467.0781499999998</v>
      </c>
      <c r="E10" s="35">
        <f t="shared" si="0"/>
        <v>0.90028765327700733</v>
      </c>
      <c r="F10" s="34">
        <f>D10*'index bazický'!$C$9</f>
        <v>1600.448890909091</v>
      </c>
      <c r="G10" s="35">
        <f t="shared" si="1"/>
        <v>0.98213198539309909</v>
      </c>
      <c r="H10" s="84">
        <f>F10*'změna výkonu '!L6</f>
        <v>1597.1960697734692</v>
      </c>
      <c r="I10" s="35">
        <f t="shared" si="2"/>
        <v>0.98213198539309932</v>
      </c>
      <c r="K10" s="91"/>
    </row>
    <row r="11" spans="1:11">
      <c r="A11" s="257"/>
      <c r="B11" s="33" t="s">
        <v>7</v>
      </c>
      <c r="C11" s="33">
        <v>3</v>
      </c>
      <c r="D11" s="34">
        <v>8984.0441099999989</v>
      </c>
      <c r="E11" s="35">
        <f t="shared" si="0"/>
        <v>5.5131514219123368</v>
      </c>
      <c r="F11" s="34">
        <f>D11*'index bazický'!$C$9</f>
        <v>9800.7753927272734</v>
      </c>
      <c r="G11" s="35">
        <f t="shared" si="1"/>
        <v>6.0143470057225503</v>
      </c>
      <c r="H11" s="77">
        <f>(0.75*'změna výkonu '!L6*'výchozí model A'!F11)+((1-0.75)*'výchozí model A'!F11)</f>
        <v>9785.8357547650594</v>
      </c>
      <c r="I11" s="35">
        <f t="shared" si="2"/>
        <v>6.0174091837837507</v>
      </c>
    </row>
    <row r="12" spans="1:11">
      <c r="A12" s="257"/>
      <c r="B12" s="33" t="s">
        <v>8</v>
      </c>
      <c r="C12" s="33">
        <v>4</v>
      </c>
      <c r="D12" s="34">
        <v>5463.99</v>
      </c>
      <c r="E12" s="35">
        <f t="shared" si="0"/>
        <v>3.3530338752772209</v>
      </c>
      <c r="F12" s="34">
        <f>D12*'index bazický'!$C$9</f>
        <v>5960.7163636363639</v>
      </c>
      <c r="G12" s="35">
        <f t="shared" si="1"/>
        <v>3.6578551366660594</v>
      </c>
      <c r="H12" s="84">
        <f>F12*'změna výkonu '!L6</f>
        <v>5948.6015474237256</v>
      </c>
      <c r="I12" s="35">
        <f t="shared" si="2"/>
        <v>3.6578551366660594</v>
      </c>
    </row>
    <row r="13" spans="1:11">
      <c r="A13" s="257"/>
      <c r="B13" s="33" t="s">
        <v>9</v>
      </c>
      <c r="C13" s="33">
        <v>5</v>
      </c>
      <c r="D13" s="34">
        <v>0</v>
      </c>
      <c r="E13" s="35">
        <f t="shared" si="0"/>
        <v>0</v>
      </c>
      <c r="F13" s="34">
        <f>D13*'index bazický'!$C$9</f>
        <v>0</v>
      </c>
      <c r="G13" s="35">
        <f t="shared" si="1"/>
        <v>0</v>
      </c>
      <c r="H13" s="34">
        <f>F13</f>
        <v>0</v>
      </c>
      <c r="I13" s="35">
        <f t="shared" si="2"/>
        <v>0</v>
      </c>
    </row>
    <row r="14" spans="1:11">
      <c r="A14" s="257"/>
      <c r="B14" s="33" t="s">
        <v>10</v>
      </c>
      <c r="C14" s="33">
        <v>6</v>
      </c>
      <c r="D14" s="34">
        <v>22208.790799999995</v>
      </c>
      <c r="E14" s="35">
        <f t="shared" si="0"/>
        <v>13.628653764253793</v>
      </c>
      <c r="F14" s="34">
        <f>D14/100*'index mzdy'!B11</f>
        <v>25288.405703175034</v>
      </c>
      <c r="G14" s="35">
        <f t="shared" si="1"/>
        <v>15.518491244401904</v>
      </c>
      <c r="H14" s="84">
        <f>F14*'změna výkonu '!L6</f>
        <v>25237.008460173576</v>
      </c>
      <c r="I14" s="35">
        <f t="shared" si="2"/>
        <v>15.518491244401906</v>
      </c>
    </row>
    <row r="15" spans="1:11">
      <c r="A15" s="257"/>
      <c r="B15" s="33" t="s">
        <v>11</v>
      </c>
      <c r="C15" s="33">
        <v>7</v>
      </c>
      <c r="D15" s="34">
        <v>7438.1817199999996</v>
      </c>
      <c r="E15" s="35">
        <f t="shared" si="0"/>
        <v>4.5645170063685665</v>
      </c>
      <c r="F15" s="34">
        <f>D15/100*'index mzdy'!C22</f>
        <v>8419.7869912982587</v>
      </c>
      <c r="G15" s="35">
        <f t="shared" si="1"/>
        <v>5.1668892154710262</v>
      </c>
      <c r="H15" s="84">
        <f>F15*'změna výkonu '!L6</f>
        <v>8402.6742542166194</v>
      </c>
      <c r="I15" s="35">
        <f t="shared" si="2"/>
        <v>5.1668892154710271</v>
      </c>
    </row>
    <row r="16" spans="1:11">
      <c r="A16" s="257"/>
      <c r="B16" s="33" t="s">
        <v>12</v>
      </c>
      <c r="C16" s="33">
        <v>8</v>
      </c>
      <c r="D16" s="34">
        <v>7.5480400000000003</v>
      </c>
      <c r="E16" s="35">
        <f t="shared" si="0"/>
        <v>4.6319326740985028E-3</v>
      </c>
      <c r="F16" s="34">
        <f>D16*'index bazický'!$C$9</f>
        <v>8.2342254545454558</v>
      </c>
      <c r="G16" s="35">
        <f t="shared" si="1"/>
        <v>5.0530174626529124E-3</v>
      </c>
      <c r="H16" s="34">
        <f>F16</f>
        <v>8.2342254545454558</v>
      </c>
      <c r="I16" s="35">
        <f t="shared" si="2"/>
        <v>5.0633083482318608E-3</v>
      </c>
    </row>
    <row r="17" spans="1:9">
      <c r="A17" s="257"/>
      <c r="B17" s="33" t="s">
        <v>40</v>
      </c>
      <c r="C17" s="33">
        <v>9</v>
      </c>
      <c r="D17" s="34">
        <v>0</v>
      </c>
      <c r="E17" s="35">
        <f t="shared" si="0"/>
        <v>0</v>
      </c>
      <c r="F17" s="34">
        <f>D17*'index bazický'!$C$9</f>
        <v>0</v>
      </c>
      <c r="G17" s="35">
        <f t="shared" si="1"/>
        <v>0</v>
      </c>
      <c r="H17" s="34">
        <f>F17</f>
        <v>0</v>
      </c>
      <c r="I17" s="35">
        <f t="shared" si="2"/>
        <v>0</v>
      </c>
    </row>
    <row r="18" spans="1:9">
      <c r="A18" s="257"/>
      <c r="B18" s="33" t="s">
        <v>41</v>
      </c>
      <c r="C18" s="33">
        <v>10</v>
      </c>
      <c r="D18" s="34">
        <v>12.51</v>
      </c>
      <c r="E18" s="35">
        <f t="shared" si="0"/>
        <v>7.6768906567760984E-3</v>
      </c>
      <c r="F18" s="34">
        <f>D18*'index bazický'!$C$9</f>
        <v>13.647272727272728</v>
      </c>
      <c r="G18" s="35">
        <f t="shared" si="1"/>
        <v>8.3747898073921086E-3</v>
      </c>
      <c r="H18" s="34">
        <f>F18</f>
        <v>13.647272727272728</v>
      </c>
      <c r="I18" s="35">
        <f t="shared" si="2"/>
        <v>8.3918457555048169E-3</v>
      </c>
    </row>
    <row r="19" spans="1:9">
      <c r="A19" s="257"/>
      <c r="B19" s="33" t="s">
        <v>42</v>
      </c>
      <c r="C19" s="33">
        <v>11</v>
      </c>
      <c r="D19" s="34">
        <v>0</v>
      </c>
      <c r="E19" s="35">
        <f t="shared" si="0"/>
        <v>0</v>
      </c>
      <c r="F19" s="34">
        <f>D19*'index bazický'!$C$9</f>
        <v>0</v>
      </c>
      <c r="G19" s="35">
        <f t="shared" si="1"/>
        <v>0</v>
      </c>
      <c r="H19" s="34">
        <f>F19</f>
        <v>0</v>
      </c>
      <c r="I19" s="35">
        <f t="shared" si="2"/>
        <v>0</v>
      </c>
    </row>
    <row r="20" spans="1:9">
      <c r="A20" s="257"/>
      <c r="B20" s="33" t="s">
        <v>43</v>
      </c>
      <c r="C20" s="33">
        <v>12</v>
      </c>
      <c r="D20" s="34">
        <v>669.63593999999989</v>
      </c>
      <c r="E20" s="35">
        <f t="shared" si="0"/>
        <v>0.41092900809172495</v>
      </c>
      <c r="F20" s="34">
        <f>D20*'index bazický'!$C$9</f>
        <v>730.51193454545455</v>
      </c>
      <c r="G20" s="35">
        <f t="shared" si="1"/>
        <v>0.44828619064551822</v>
      </c>
      <c r="H20" s="84">
        <f>F20*'změna výkonu '!L6</f>
        <v>729.02721068203664</v>
      </c>
      <c r="I20" s="35">
        <f t="shared" si="2"/>
        <v>0.44828619064551828</v>
      </c>
    </row>
    <row r="21" spans="1:9">
      <c r="A21" s="257"/>
      <c r="B21" s="33" t="s">
        <v>15</v>
      </c>
      <c r="C21" s="33">
        <v>13</v>
      </c>
      <c r="D21" s="34">
        <v>3551.5727299999999</v>
      </c>
      <c r="E21" s="35"/>
      <c r="F21" s="34">
        <f>D21*'index bazický'!$C$9</f>
        <v>3874.4429781818185</v>
      </c>
      <c r="G21" s="35"/>
      <c r="H21" s="84">
        <f>F21*'změna výkonu '!L6</f>
        <v>3866.5683936950668</v>
      </c>
      <c r="I21" s="35"/>
    </row>
    <row r="22" spans="1:9">
      <c r="A22" s="257"/>
      <c r="B22" s="33" t="s">
        <v>44</v>
      </c>
      <c r="C22" s="33">
        <v>14</v>
      </c>
      <c r="D22" s="34">
        <v>0</v>
      </c>
      <c r="E22" s="35"/>
      <c r="F22" s="34">
        <f>D22*'index bazický'!$C$9</f>
        <v>0</v>
      </c>
      <c r="G22" s="35"/>
      <c r="H22" s="77">
        <f>(0.75*'změna výkonu '!J17*'výchozí model A'!F22)+((1-0.75)*('změna výkonu '!J15/'změna výkonu '!J16)*'výchozí model A'!F22)</f>
        <v>0</v>
      </c>
      <c r="I22" s="35"/>
    </row>
    <row r="23" spans="1:9">
      <c r="A23" s="257"/>
      <c r="B23" s="33" t="s">
        <v>17</v>
      </c>
      <c r="C23" s="33">
        <v>15</v>
      </c>
      <c r="D23" s="34">
        <v>1920.62544</v>
      </c>
      <c r="E23" s="35">
        <f t="shared" ref="E23:E29" si="3">D23/$D$36</f>
        <v>1.17861163033593</v>
      </c>
      <c r="F23" s="34">
        <f>D23*'index bazický'!$C$9</f>
        <v>2095.2277527272731</v>
      </c>
      <c r="G23" s="35">
        <f t="shared" ref="G23:G29" si="4">F23/$F$36</f>
        <v>1.2857581421846511</v>
      </c>
      <c r="H23" s="83">
        <f>F23</f>
        <v>2095.2277527272731</v>
      </c>
      <c r="I23" s="35">
        <f t="shared" ref="I23:I29" si="5">H23/$H$36</f>
        <v>1.2883766943707891</v>
      </c>
    </row>
    <row r="24" spans="1:9">
      <c r="A24" s="258"/>
      <c r="B24" s="33" t="s">
        <v>18</v>
      </c>
      <c r="C24" s="33">
        <v>16</v>
      </c>
      <c r="D24" s="34">
        <v>6882.2831299999998</v>
      </c>
      <c r="E24" s="35">
        <f t="shared" si="3"/>
        <v>4.223384097360892</v>
      </c>
      <c r="F24" s="34">
        <f>D24*'index bazický'!$C$9</f>
        <v>7507.9452327272738</v>
      </c>
      <c r="G24" s="35">
        <f t="shared" si="4"/>
        <v>4.6073281062118836</v>
      </c>
      <c r="H24" s="83">
        <f>F24</f>
        <v>7507.9452327272738</v>
      </c>
      <c r="I24" s="35">
        <f t="shared" si="5"/>
        <v>4.6167113087668188</v>
      </c>
    </row>
    <row r="25" spans="1:9">
      <c r="A25" s="259" t="s">
        <v>45</v>
      </c>
      <c r="B25" s="260"/>
      <c r="C25" s="36">
        <v>17</v>
      </c>
      <c r="D25" s="37">
        <v>67388.768960000001</v>
      </c>
      <c r="E25" s="35">
        <f t="shared" si="3"/>
        <v>41.353813813002972</v>
      </c>
      <c r="F25" s="37">
        <f>SUM(F9:F24)</f>
        <v>73452.571414152189</v>
      </c>
      <c r="G25" s="35">
        <f t="shared" si="4"/>
        <v>45.074928793404005</v>
      </c>
      <c r="H25" s="37">
        <f>SUM(H9:H24)</f>
        <v>73327.825503861546</v>
      </c>
      <c r="I25" s="35">
        <f t="shared" si="5"/>
        <v>45.090020073039973</v>
      </c>
    </row>
    <row r="26" spans="1:9">
      <c r="A26" s="261" t="s">
        <v>36</v>
      </c>
      <c r="B26" s="33" t="s">
        <v>19</v>
      </c>
      <c r="C26" s="33">
        <v>18</v>
      </c>
      <c r="D26" s="34">
        <v>17460.94745</v>
      </c>
      <c r="E26" s="35">
        <f t="shared" si="3"/>
        <v>10.715090674449515</v>
      </c>
      <c r="F26" s="34">
        <f>D26*'index bazický'!$C$9</f>
        <v>19048.306309090913</v>
      </c>
      <c r="G26" s="35">
        <f t="shared" si="4"/>
        <v>11.689189826672202</v>
      </c>
      <c r="H26" s="77">
        <f>(0.75*'změna výkonu '!J17*'výchozí model A'!F26)+((1-0.75)*('změna výkonu '!J15/'změna výkonu '!J16)*'výchozí model A'!F26)</f>
        <v>19253.736878614618</v>
      </c>
      <c r="I26" s="35">
        <f t="shared" si="5"/>
        <v>11.839317153786936</v>
      </c>
    </row>
    <row r="27" spans="1:9">
      <c r="A27" s="262"/>
      <c r="B27" s="33" t="s">
        <v>20</v>
      </c>
      <c r="C27" s="33">
        <v>19</v>
      </c>
      <c r="D27" s="34">
        <v>0</v>
      </c>
      <c r="E27" s="35">
        <f t="shared" si="3"/>
        <v>0</v>
      </c>
      <c r="F27" s="34">
        <f>D27*'index bazický'!$C$9</f>
        <v>0</v>
      </c>
      <c r="G27" s="35">
        <f t="shared" si="4"/>
        <v>0</v>
      </c>
      <c r="H27" s="77">
        <f>(0.75*'změna výkonu '!J17*'výchozí model A'!F27)+((1-0.75)*('změna výkonu '!J15/'změna výkonu '!J16)*'výchozí model A'!F27)</f>
        <v>0</v>
      </c>
      <c r="I27" s="35">
        <f t="shared" si="5"/>
        <v>0</v>
      </c>
    </row>
    <row r="28" spans="1:9">
      <c r="A28" s="263"/>
      <c r="B28" s="38" t="s">
        <v>21</v>
      </c>
      <c r="C28" s="33">
        <v>20</v>
      </c>
      <c r="D28" s="34">
        <v>1645.36068</v>
      </c>
      <c r="E28" s="35">
        <f t="shared" si="3"/>
        <v>1.009692568450741</v>
      </c>
      <c r="F28" s="34">
        <f>D28*'index bazický'!$C$9</f>
        <v>1794.9389236363638</v>
      </c>
      <c r="G28" s="35">
        <f t="shared" si="4"/>
        <v>1.1014828019462628</v>
      </c>
      <c r="H28" s="84">
        <f>F28*'změna výkonu '!L6</f>
        <v>1791.2908125963179</v>
      </c>
      <c r="I28" s="35">
        <f t="shared" si="5"/>
        <v>1.101482801946263</v>
      </c>
    </row>
    <row r="29" spans="1:9">
      <c r="A29" s="259" t="s">
        <v>46</v>
      </c>
      <c r="B29" s="260"/>
      <c r="C29" s="39">
        <v>21</v>
      </c>
      <c r="D29" s="37">
        <v>19106.308130000001</v>
      </c>
      <c r="E29" s="35">
        <f t="shared" si="3"/>
        <v>11.724783242900257</v>
      </c>
      <c r="F29" s="37">
        <f>SUM(F26:F28)</f>
        <v>20843.245232727277</v>
      </c>
      <c r="G29" s="35">
        <f t="shared" si="4"/>
        <v>12.790672628618465</v>
      </c>
      <c r="H29" s="37">
        <f>SUM(H26:H28)</f>
        <v>21045.027691210937</v>
      </c>
      <c r="I29" s="35">
        <f t="shared" si="5"/>
        <v>12.940799955733199</v>
      </c>
    </row>
    <row r="30" spans="1:9">
      <c r="A30" s="249" t="s">
        <v>22</v>
      </c>
      <c r="B30" s="250"/>
      <c r="C30" s="33">
        <v>22</v>
      </c>
      <c r="D30" s="34">
        <v>33303.758999999998</v>
      </c>
      <c r="E30" s="40"/>
      <c r="F30" s="34">
        <f>'Provozní aktiva A+T'!E70/1000</f>
        <v>55507.559500000003</v>
      </c>
      <c r="G30" s="40"/>
      <c r="H30" s="34">
        <f>'Provozní aktiva A+T'!E70/1000</f>
        <v>55507.559500000003</v>
      </c>
      <c r="I30" s="40"/>
    </row>
    <row r="31" spans="1:9">
      <c r="A31" s="259" t="s">
        <v>23</v>
      </c>
      <c r="B31" s="260"/>
      <c r="C31" s="36">
        <v>23</v>
      </c>
      <c r="D31" s="37">
        <v>333.03758999999997</v>
      </c>
      <c r="E31" s="35"/>
      <c r="F31" s="37">
        <f>F30/100</f>
        <v>555.07559500000002</v>
      </c>
      <c r="G31" s="35"/>
      <c r="H31" s="37">
        <f>H30/100</f>
        <v>555.07559500000002</v>
      </c>
      <c r="I31" s="35"/>
    </row>
    <row r="32" spans="1:9">
      <c r="A32" s="259" t="s">
        <v>24</v>
      </c>
      <c r="B32" s="260"/>
      <c r="C32" s="36">
        <v>24</v>
      </c>
      <c r="D32" s="37">
        <v>48615.498420000004</v>
      </c>
      <c r="E32" s="43">
        <f>D32/$D$36</f>
        <v>29.833402525580432</v>
      </c>
      <c r="F32" s="48">
        <f>F25-F29+F31</f>
        <v>53164.401776424915</v>
      </c>
      <c r="G32" s="49">
        <f>F32/$F$36</f>
        <v>32.624884034414634</v>
      </c>
      <c r="H32" s="50">
        <f>H25-H29+H31</f>
        <v>52837.873407650608</v>
      </c>
      <c r="I32" s="51">
        <f>H32/$H$36</f>
        <v>32.490541703602645</v>
      </c>
    </row>
    <row r="33" spans="1:9">
      <c r="A33" s="249" t="s">
        <v>25</v>
      </c>
      <c r="B33" s="250"/>
      <c r="C33" s="33">
        <v>25</v>
      </c>
      <c r="D33" s="34"/>
      <c r="E33" s="42"/>
      <c r="F33" s="34"/>
      <c r="G33" s="42"/>
      <c r="H33" s="34"/>
      <c r="I33" s="42"/>
    </row>
    <row r="34" spans="1:9">
      <c r="A34" s="249" t="s">
        <v>26</v>
      </c>
      <c r="B34" s="250"/>
      <c r="C34" s="33">
        <v>26</v>
      </c>
      <c r="D34" s="34"/>
      <c r="E34" s="42"/>
      <c r="F34" s="34"/>
      <c r="G34" s="42"/>
      <c r="H34" s="34"/>
      <c r="I34" s="42"/>
    </row>
    <row r="35" spans="1:9">
      <c r="A35" s="249"/>
      <c r="B35" s="250"/>
      <c r="C35" s="33"/>
      <c r="D35" s="34"/>
      <c r="E35" s="34"/>
      <c r="F35" s="34"/>
      <c r="G35" s="34"/>
      <c r="H35" s="34"/>
      <c r="I35" s="34"/>
    </row>
    <row r="36" spans="1:9">
      <c r="A36" s="259" t="s">
        <v>27</v>
      </c>
      <c r="B36" s="260"/>
      <c r="C36" s="36">
        <v>27</v>
      </c>
      <c r="D36" s="265">
        <v>1629.566</v>
      </c>
      <c r="E36" s="266"/>
      <c r="F36" s="265">
        <f>'změna výkonu '!L5/1000</f>
        <v>1629.566</v>
      </c>
      <c r="G36" s="266"/>
      <c r="H36" s="265">
        <f>'změna výkonu '!L4/1000</f>
        <v>1626.2539999999999</v>
      </c>
      <c r="I36" s="266"/>
    </row>
    <row r="37" spans="1:9">
      <c r="A37" s="267" t="s">
        <v>28</v>
      </c>
      <c r="B37" s="268"/>
      <c r="C37" s="33">
        <v>28</v>
      </c>
      <c r="D37" s="269"/>
      <c r="E37" s="270"/>
      <c r="F37" s="269"/>
      <c r="G37" s="270"/>
      <c r="H37" s="269"/>
      <c r="I37" s="270"/>
    </row>
  </sheetData>
  <mergeCells count="24">
    <mergeCell ref="F7:G7"/>
    <mergeCell ref="H36:I36"/>
    <mergeCell ref="H7:I7"/>
    <mergeCell ref="A33:B33"/>
    <mergeCell ref="A34:B34"/>
    <mergeCell ref="A35:B35"/>
    <mergeCell ref="A36:B36"/>
    <mergeCell ref="F36:G36"/>
    <mergeCell ref="F37:G37"/>
    <mergeCell ref="H37:I37"/>
    <mergeCell ref="A1:E1"/>
    <mergeCell ref="A7:B8"/>
    <mergeCell ref="C7:C8"/>
    <mergeCell ref="D7:E7"/>
    <mergeCell ref="A9:A24"/>
    <mergeCell ref="A37:B37"/>
    <mergeCell ref="D37:E37"/>
    <mergeCell ref="D36:E36"/>
    <mergeCell ref="A31:B31"/>
    <mergeCell ref="A25:B25"/>
    <mergeCell ref="A26:A28"/>
    <mergeCell ref="A29:B29"/>
    <mergeCell ref="A30:B30"/>
    <mergeCell ref="A32:B32"/>
  </mergeCells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workbookViewId="0">
      <selection activeCell="F6" sqref="F6"/>
    </sheetView>
  </sheetViews>
  <sheetFormatPr defaultRowHeight="14.25"/>
  <cols>
    <col min="1" max="1" width="30.5" customWidth="1"/>
    <col min="9" max="9" width="31.125" customWidth="1"/>
    <col min="12" max="12" width="8.875" bestFit="1" customWidth="1"/>
  </cols>
  <sheetData>
    <row r="1" spans="1:14" ht="15">
      <c r="A1" s="26" t="s">
        <v>145</v>
      </c>
      <c r="B1" s="58">
        <f>F10-F9</f>
        <v>-138766</v>
      </c>
      <c r="C1" s="27"/>
      <c r="D1" s="75" t="s">
        <v>177</v>
      </c>
      <c r="E1" s="75">
        <v>131880</v>
      </c>
      <c r="F1" s="76">
        <f>B1+E1</f>
        <v>-6886</v>
      </c>
      <c r="G1" s="75" t="s">
        <v>178</v>
      </c>
    </row>
    <row r="2" spans="1:14" ht="15">
      <c r="A2" s="2" t="s">
        <v>86</v>
      </c>
      <c r="I2" s="2" t="s">
        <v>89</v>
      </c>
    </row>
    <row r="4" spans="1:14">
      <c r="A4" t="s">
        <v>87</v>
      </c>
      <c r="D4" s="28">
        <v>1074890</v>
      </c>
      <c r="E4" s="24"/>
      <c r="I4" t="s">
        <v>87</v>
      </c>
      <c r="L4" s="28">
        <v>1626254</v>
      </c>
      <c r="M4" s="24"/>
    </row>
    <row r="5" spans="1:14">
      <c r="A5" t="s">
        <v>88</v>
      </c>
      <c r="D5" s="24">
        <v>1210344</v>
      </c>
      <c r="I5" t="s">
        <v>88</v>
      </c>
      <c r="L5" s="24">
        <v>1629566</v>
      </c>
      <c r="N5">
        <v>1629.566</v>
      </c>
    </row>
    <row r="6" spans="1:14" ht="15">
      <c r="A6" s="2" t="s">
        <v>90</v>
      </c>
      <c r="D6" s="59">
        <f>D4/D5</f>
        <v>0.88808636222429327</v>
      </c>
      <c r="I6" s="2" t="s">
        <v>91</v>
      </c>
      <c r="L6" s="59">
        <f>L4/L5</f>
        <v>0.99796755700597584</v>
      </c>
    </row>
    <row r="9" spans="1:14">
      <c r="A9" t="s">
        <v>93</v>
      </c>
      <c r="E9" t="s">
        <v>95</v>
      </c>
      <c r="F9" s="24">
        <f>D5+L5</f>
        <v>2839910</v>
      </c>
      <c r="G9" s="24"/>
      <c r="I9" t="s">
        <v>93</v>
      </c>
      <c r="M9" t="s">
        <v>95</v>
      </c>
      <c r="N9" s="24">
        <f>D5+L5</f>
        <v>2839910</v>
      </c>
    </row>
    <row r="10" spans="1:14">
      <c r="A10" t="s">
        <v>92</v>
      </c>
      <c r="E10" t="s">
        <v>94</v>
      </c>
      <c r="F10" s="24">
        <f>D4+L4</f>
        <v>2701144</v>
      </c>
      <c r="G10" s="24"/>
      <c r="I10" t="s">
        <v>92</v>
      </c>
      <c r="M10" t="s">
        <v>94</v>
      </c>
      <c r="N10" s="24">
        <f>D4+L4</f>
        <v>2701144</v>
      </c>
    </row>
    <row r="11" spans="1:14">
      <c r="A11" t="s">
        <v>96</v>
      </c>
      <c r="E11" s="24"/>
      <c r="I11" t="s">
        <v>96</v>
      </c>
      <c r="M11" s="24"/>
    </row>
    <row r="12" spans="1:14">
      <c r="A12" t="s">
        <v>97</v>
      </c>
      <c r="E12" t="s">
        <v>98</v>
      </c>
      <c r="F12" s="24">
        <f>D5</f>
        <v>1210344</v>
      </c>
      <c r="G12" s="24"/>
      <c r="I12" t="s">
        <v>104</v>
      </c>
      <c r="M12" t="s">
        <v>106</v>
      </c>
      <c r="N12" s="24">
        <f>L5</f>
        <v>1629566</v>
      </c>
    </row>
    <row r="13" spans="1:14">
      <c r="A13" t="s">
        <v>99</v>
      </c>
      <c r="E13" t="s">
        <v>100</v>
      </c>
      <c r="F13" s="24">
        <f>D4</f>
        <v>1074890</v>
      </c>
      <c r="G13" s="24"/>
      <c r="I13" t="s">
        <v>105</v>
      </c>
      <c r="M13" t="s">
        <v>107</v>
      </c>
      <c r="N13" s="24">
        <f>L4</f>
        <v>1626254</v>
      </c>
    </row>
    <row r="15" spans="1:14" ht="15">
      <c r="A15" s="2" t="s">
        <v>101</v>
      </c>
      <c r="B15" s="59">
        <f>F13/F10</f>
        <v>0.39793879926431169</v>
      </c>
      <c r="I15" s="2" t="s">
        <v>109</v>
      </c>
      <c r="J15" s="59">
        <f>N13/N10</f>
        <v>0.60206120073568825</v>
      </c>
    </row>
    <row r="16" spans="1:14" ht="15">
      <c r="A16" s="2" t="s">
        <v>102</v>
      </c>
      <c r="B16" s="59">
        <f>F12/F9</f>
        <v>0.42619097084062524</v>
      </c>
      <c r="I16" s="2" t="s">
        <v>110</v>
      </c>
      <c r="J16" s="59">
        <f>N12/N9</f>
        <v>0.57380902915937482</v>
      </c>
    </row>
    <row r="17" spans="1:10" ht="15">
      <c r="A17" s="2" t="s">
        <v>103</v>
      </c>
      <c r="B17" s="59">
        <f>F13/F12</f>
        <v>0.88808636222429327</v>
      </c>
      <c r="I17" s="2" t="s">
        <v>108</v>
      </c>
      <c r="J17" s="59">
        <f>L4/L5</f>
        <v>0.99796755700597584</v>
      </c>
    </row>
    <row r="19" spans="1:10">
      <c r="A19" t="s">
        <v>187</v>
      </c>
      <c r="E19" t="s">
        <v>176</v>
      </c>
      <c r="F19">
        <v>16</v>
      </c>
    </row>
    <row r="20" spans="1:10">
      <c r="A20" t="s">
        <v>188</v>
      </c>
      <c r="E20" t="s">
        <v>185</v>
      </c>
      <c r="F20">
        <v>16</v>
      </c>
    </row>
    <row r="22" spans="1:10" ht="15">
      <c r="A22" s="85" t="s">
        <v>186</v>
      </c>
      <c r="F22" s="86">
        <f>F20/F19</f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3:C9"/>
  <sheetViews>
    <sheetView workbookViewId="0">
      <selection activeCell="J21" sqref="J21"/>
    </sheetView>
  </sheetViews>
  <sheetFormatPr defaultRowHeight="14.25"/>
  <sheetData>
    <row r="3" spans="1:3" ht="15">
      <c r="A3" s="2" t="s">
        <v>78</v>
      </c>
    </row>
    <row r="4" spans="1:3">
      <c r="A4" s="1" t="s">
        <v>144</v>
      </c>
      <c r="B4" s="1"/>
    </row>
    <row r="5" spans="1:3">
      <c r="B5" s="1"/>
    </row>
    <row r="7" spans="1:3">
      <c r="A7" s="13" t="s">
        <v>190</v>
      </c>
      <c r="C7" s="73">
        <v>115.2</v>
      </c>
    </row>
    <row r="8" spans="1:3">
      <c r="A8" t="s">
        <v>79</v>
      </c>
      <c r="C8" s="73">
        <v>105.6</v>
      </c>
    </row>
    <row r="9" spans="1:3" ht="15">
      <c r="A9" s="2" t="s">
        <v>69</v>
      </c>
      <c r="B9" s="2"/>
      <c r="C9" s="74">
        <f>C7/C8</f>
        <v>1.0909090909090911</v>
      </c>
    </row>
  </sheetData>
  <hyperlinks>
    <hyperlink ref="A4" r:id="rId1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2:C22"/>
  <sheetViews>
    <sheetView topLeftCell="A4" workbookViewId="0">
      <selection activeCell="G20" sqref="G20"/>
    </sheetView>
  </sheetViews>
  <sheetFormatPr defaultRowHeight="14.25"/>
  <cols>
    <col min="2" max="2" width="9.75" customWidth="1"/>
  </cols>
  <sheetData>
    <row r="2" spans="1:2" ht="15">
      <c r="A2" s="2" t="s">
        <v>47</v>
      </c>
    </row>
    <row r="4" spans="1:2">
      <c r="A4" t="s">
        <v>48</v>
      </c>
      <c r="B4" s="1" t="s">
        <v>184</v>
      </c>
    </row>
    <row r="5" spans="1:2">
      <c r="B5" s="1"/>
    </row>
    <row r="8" spans="1:2">
      <c r="A8" t="s">
        <v>50</v>
      </c>
      <c r="B8" t="s">
        <v>51</v>
      </c>
    </row>
    <row r="9" spans="1:2">
      <c r="A9" t="s">
        <v>191</v>
      </c>
      <c r="B9" s="88">
        <v>32994</v>
      </c>
    </row>
    <row r="10" spans="1:2">
      <c r="A10" t="s">
        <v>49</v>
      </c>
      <c r="B10">
        <v>28976</v>
      </c>
    </row>
    <row r="11" spans="1:2" ht="15">
      <c r="A11" s="2" t="s">
        <v>52</v>
      </c>
      <c r="B11" s="3">
        <f>B9/B10*100</f>
        <v>113.86664826062949</v>
      </c>
    </row>
    <row r="15" spans="1:2" ht="15">
      <c r="A15" s="2" t="s">
        <v>53</v>
      </c>
    </row>
    <row r="16" spans="1:2">
      <c r="A16" s="4" t="s">
        <v>56</v>
      </c>
    </row>
    <row r="17" spans="1:3">
      <c r="A17" t="s">
        <v>55</v>
      </c>
      <c r="B17" t="s">
        <v>54</v>
      </c>
    </row>
    <row r="18" spans="1:3">
      <c r="A18">
        <v>2022</v>
      </c>
      <c r="B18" s="6">
        <v>33.799999999999997</v>
      </c>
    </row>
    <row r="19" spans="1:3">
      <c r="A19">
        <v>2018</v>
      </c>
      <c r="B19">
        <v>34</v>
      </c>
    </row>
    <row r="20" spans="1:3" ht="15">
      <c r="A20" s="2" t="s">
        <v>52</v>
      </c>
      <c r="B20" s="3">
        <f>B18/B19*100</f>
        <v>99.411764705882348</v>
      </c>
    </row>
    <row r="22" spans="1:3" ht="15">
      <c r="A22" s="2" t="s">
        <v>57</v>
      </c>
      <c r="B22" s="2"/>
      <c r="C22" s="5">
        <f>(B11*B20)/100</f>
        <v>113.19684444733166</v>
      </c>
    </row>
  </sheetData>
  <hyperlinks>
    <hyperlink ref="B4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31"/>
  <sheetViews>
    <sheetView topLeftCell="A10" workbookViewId="0">
      <selection activeCell="N25" sqref="N25"/>
    </sheetView>
  </sheetViews>
  <sheetFormatPr defaultRowHeight="14.25"/>
  <cols>
    <col min="2" max="2" width="10.125" customWidth="1"/>
    <col min="3" max="3" width="11" bestFit="1" customWidth="1"/>
    <col min="5" max="5" width="9.625" bestFit="1" customWidth="1"/>
  </cols>
  <sheetData>
    <row r="1" spans="1:12" ht="15">
      <c r="A1" s="2" t="s">
        <v>60</v>
      </c>
    </row>
    <row r="2" spans="1:12">
      <c r="A2" t="s">
        <v>59</v>
      </c>
      <c r="B2" s="1" t="s">
        <v>192</v>
      </c>
    </row>
    <row r="3" spans="1:12">
      <c r="B3" s="1" t="s">
        <v>58</v>
      </c>
    </row>
    <row r="5" spans="1:12">
      <c r="A5" t="s">
        <v>193</v>
      </c>
      <c r="B5" t="s">
        <v>62</v>
      </c>
      <c r="C5">
        <v>27.2</v>
      </c>
    </row>
    <row r="6" spans="1:12">
      <c r="A6" t="s">
        <v>61</v>
      </c>
      <c r="B6" t="s">
        <v>63</v>
      </c>
      <c r="C6">
        <v>29.8</v>
      </c>
    </row>
    <row r="9" spans="1:12" ht="15">
      <c r="A9" s="2" t="s">
        <v>64</v>
      </c>
    </row>
    <row r="10" spans="1:12">
      <c r="A10" s="4" t="s">
        <v>67</v>
      </c>
      <c r="B10" s="1" t="s">
        <v>194</v>
      </c>
    </row>
    <row r="11" spans="1:12">
      <c r="A11" s="4"/>
    </row>
    <row r="12" spans="1:12" ht="15">
      <c r="A12" s="2"/>
    </row>
    <row r="13" spans="1:12">
      <c r="A13" t="s">
        <v>191</v>
      </c>
      <c r="B13" t="s">
        <v>65</v>
      </c>
      <c r="C13">
        <v>635.02</v>
      </c>
    </row>
    <row r="14" spans="1:12">
      <c r="A14" t="s">
        <v>49</v>
      </c>
      <c r="B14" t="s">
        <v>66</v>
      </c>
      <c r="C14" s="7">
        <v>659.2</v>
      </c>
    </row>
    <row r="15" spans="1:12" ht="15">
      <c r="J15" s="2"/>
    </row>
    <row r="16" spans="1:12">
      <c r="A16" t="s">
        <v>69</v>
      </c>
      <c r="B16" t="s">
        <v>68</v>
      </c>
      <c r="C16">
        <v>1.3599999999999999E-2</v>
      </c>
      <c r="D16" t="s">
        <v>70</v>
      </c>
      <c r="L16" s="11"/>
    </row>
    <row r="17" spans="1:12">
      <c r="A17" t="s">
        <v>69</v>
      </c>
      <c r="B17" t="s">
        <v>71</v>
      </c>
      <c r="C17">
        <v>1.47</v>
      </c>
      <c r="L17" s="7"/>
    </row>
    <row r="20" spans="1:12" ht="15.75">
      <c r="A20" s="2" t="s">
        <v>75</v>
      </c>
      <c r="B20" s="271" t="s">
        <v>72</v>
      </c>
      <c r="C20" s="8" t="s">
        <v>73</v>
      </c>
      <c r="E20" s="10">
        <f>C5+C16*C17*C13</f>
        <v>39.895319839999999</v>
      </c>
      <c r="F20" s="272">
        <f>E20/E21</f>
        <v>0.92825737711948575</v>
      </c>
      <c r="J20" s="2"/>
      <c r="L20" s="10"/>
    </row>
    <row r="21" spans="1:12" ht="15.75">
      <c r="B21" s="271"/>
      <c r="C21" s="9" t="s">
        <v>74</v>
      </c>
      <c r="E21" s="10">
        <f>C6+C16*C17*C14</f>
        <v>42.978726399999999</v>
      </c>
      <c r="F21" s="272"/>
      <c r="L21" s="10"/>
    </row>
    <row r="22" spans="1:12" ht="15">
      <c r="A22" s="2" t="s">
        <v>75</v>
      </c>
      <c r="F22" s="14">
        <f>F20</f>
        <v>0.92825737711948575</v>
      </c>
      <c r="J22" s="2"/>
    </row>
    <row r="25" spans="1:12" ht="15">
      <c r="A25" s="2" t="s">
        <v>77</v>
      </c>
    </row>
    <row r="26" spans="1:12">
      <c r="A26" t="s">
        <v>76</v>
      </c>
      <c r="B26" s="1" t="s">
        <v>194</v>
      </c>
    </row>
    <row r="27" spans="1:12">
      <c r="A27" s="4"/>
    </row>
    <row r="29" spans="1:12">
      <c r="A29" t="s">
        <v>191</v>
      </c>
      <c r="B29">
        <v>2255.9899999999998</v>
      </c>
    </row>
    <row r="30" spans="1:12">
      <c r="A30" t="s">
        <v>49</v>
      </c>
      <c r="B30">
        <v>1606.67</v>
      </c>
    </row>
    <row r="31" spans="1:12" ht="15">
      <c r="A31" s="2" t="s">
        <v>52</v>
      </c>
      <c r="B31" s="12">
        <f>B29/B30</f>
        <v>1.404140240372945</v>
      </c>
    </row>
  </sheetData>
  <mergeCells count="2">
    <mergeCell ref="B20:B21"/>
    <mergeCell ref="F20:F21"/>
  </mergeCells>
  <hyperlinks>
    <hyperlink ref="B10" r:id="rId1"/>
    <hyperlink ref="B2" r:id="rId2"/>
    <hyperlink ref="B3" r:id="rId3"/>
    <hyperlink ref="B26" r:id="rId4"/>
  </hyperlinks>
  <pageMargins left="0.7" right="0.7" top="0.78740157499999996" bottom="0.78740157499999996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B1:I72"/>
  <sheetViews>
    <sheetView topLeftCell="B1" zoomScale="80" zoomScaleNormal="80" workbookViewId="0">
      <selection activeCell="G80" sqref="G80"/>
    </sheetView>
  </sheetViews>
  <sheetFormatPr defaultRowHeight="12.75"/>
  <cols>
    <col min="1" max="1" width="8.75" style="96"/>
    <col min="2" max="2" width="8.375" style="95" customWidth="1"/>
    <col min="3" max="3" width="11.375" style="96" bestFit="1" customWidth="1"/>
    <col min="4" max="5" width="10.25" style="96" bestFit="1" customWidth="1"/>
    <col min="6" max="6" width="9.75" style="96" bestFit="1" customWidth="1"/>
    <col min="7" max="7" width="22.875" style="95" bestFit="1" customWidth="1"/>
    <col min="8" max="8" width="5.875" style="96" bestFit="1" customWidth="1"/>
    <col min="9" max="11" width="8.75" style="96"/>
    <col min="12" max="12" width="5.875" style="96" bestFit="1" customWidth="1"/>
    <col min="13" max="257" width="8.75" style="96"/>
    <col min="258" max="258" width="6" style="96" customWidth="1"/>
    <col min="259" max="259" width="10.875" style="96" bestFit="1" customWidth="1"/>
    <col min="260" max="260" width="7.375" style="96" bestFit="1" customWidth="1"/>
    <col min="261" max="261" width="6.875" style="96" bestFit="1" customWidth="1"/>
    <col min="262" max="262" width="7.625" style="96" bestFit="1" customWidth="1"/>
    <col min="263" max="263" width="8.5" style="96" bestFit="1" customWidth="1"/>
    <col min="264" max="264" width="5.875" style="96" bestFit="1" customWidth="1"/>
    <col min="265" max="267" width="8.75" style="96"/>
    <col min="268" max="268" width="5.875" style="96" bestFit="1" customWidth="1"/>
    <col min="269" max="513" width="8.75" style="96"/>
    <col min="514" max="514" width="6" style="96" customWidth="1"/>
    <col min="515" max="515" width="10.875" style="96" bestFit="1" customWidth="1"/>
    <col min="516" max="516" width="7.375" style="96" bestFit="1" customWidth="1"/>
    <col min="517" max="517" width="6.875" style="96" bestFit="1" customWidth="1"/>
    <col min="518" max="518" width="7.625" style="96" bestFit="1" customWidth="1"/>
    <col min="519" max="519" width="8.5" style="96" bestFit="1" customWidth="1"/>
    <col min="520" max="520" width="5.875" style="96" bestFit="1" customWidth="1"/>
    <col min="521" max="523" width="8.75" style="96"/>
    <col min="524" max="524" width="5.875" style="96" bestFit="1" customWidth="1"/>
    <col min="525" max="769" width="8.75" style="96"/>
    <col min="770" max="770" width="6" style="96" customWidth="1"/>
    <col min="771" max="771" width="10.875" style="96" bestFit="1" customWidth="1"/>
    <col min="772" max="772" width="7.375" style="96" bestFit="1" customWidth="1"/>
    <col min="773" max="773" width="6.875" style="96" bestFit="1" customWidth="1"/>
    <col min="774" max="774" width="7.625" style="96" bestFit="1" customWidth="1"/>
    <col min="775" max="775" width="8.5" style="96" bestFit="1" customWidth="1"/>
    <col min="776" max="776" width="5.875" style="96" bestFit="1" customWidth="1"/>
    <col min="777" max="779" width="8.75" style="96"/>
    <col min="780" max="780" width="5.875" style="96" bestFit="1" customWidth="1"/>
    <col min="781" max="1025" width="8.75" style="96"/>
    <col min="1026" max="1026" width="6" style="96" customWidth="1"/>
    <col min="1027" max="1027" width="10.875" style="96" bestFit="1" customWidth="1"/>
    <col min="1028" max="1028" width="7.375" style="96" bestFit="1" customWidth="1"/>
    <col min="1029" max="1029" width="6.875" style="96" bestFit="1" customWidth="1"/>
    <col min="1030" max="1030" width="7.625" style="96" bestFit="1" customWidth="1"/>
    <col min="1031" max="1031" width="8.5" style="96" bestFit="1" customWidth="1"/>
    <col min="1032" max="1032" width="5.875" style="96" bestFit="1" customWidth="1"/>
    <col min="1033" max="1035" width="8.75" style="96"/>
    <col min="1036" max="1036" width="5.875" style="96" bestFit="1" customWidth="1"/>
    <col min="1037" max="1281" width="8.75" style="96"/>
    <col min="1282" max="1282" width="6" style="96" customWidth="1"/>
    <col min="1283" max="1283" width="10.875" style="96" bestFit="1" customWidth="1"/>
    <col min="1284" max="1284" width="7.375" style="96" bestFit="1" customWidth="1"/>
    <col min="1285" max="1285" width="6.875" style="96" bestFit="1" customWidth="1"/>
    <col min="1286" max="1286" width="7.625" style="96" bestFit="1" customWidth="1"/>
    <col min="1287" max="1287" width="8.5" style="96" bestFit="1" customWidth="1"/>
    <col min="1288" max="1288" width="5.875" style="96" bestFit="1" customWidth="1"/>
    <col min="1289" max="1291" width="8.75" style="96"/>
    <col min="1292" max="1292" width="5.875" style="96" bestFit="1" customWidth="1"/>
    <col min="1293" max="1537" width="8.75" style="96"/>
    <col min="1538" max="1538" width="6" style="96" customWidth="1"/>
    <col min="1539" max="1539" width="10.875" style="96" bestFit="1" customWidth="1"/>
    <col min="1540" max="1540" width="7.375" style="96" bestFit="1" customWidth="1"/>
    <col min="1541" max="1541" width="6.875" style="96" bestFit="1" customWidth="1"/>
    <col min="1542" max="1542" width="7.625" style="96" bestFit="1" customWidth="1"/>
    <col min="1543" max="1543" width="8.5" style="96" bestFit="1" customWidth="1"/>
    <col min="1544" max="1544" width="5.875" style="96" bestFit="1" customWidth="1"/>
    <col min="1545" max="1547" width="8.75" style="96"/>
    <col min="1548" max="1548" width="5.875" style="96" bestFit="1" customWidth="1"/>
    <col min="1549" max="1793" width="8.75" style="96"/>
    <col min="1794" max="1794" width="6" style="96" customWidth="1"/>
    <col min="1795" max="1795" width="10.875" style="96" bestFit="1" customWidth="1"/>
    <col min="1796" max="1796" width="7.375" style="96" bestFit="1" customWidth="1"/>
    <col min="1797" max="1797" width="6.875" style="96" bestFit="1" customWidth="1"/>
    <col min="1798" max="1798" width="7.625" style="96" bestFit="1" customWidth="1"/>
    <col min="1799" max="1799" width="8.5" style="96" bestFit="1" customWidth="1"/>
    <col min="1800" max="1800" width="5.875" style="96" bestFit="1" customWidth="1"/>
    <col min="1801" max="1803" width="8.75" style="96"/>
    <col min="1804" max="1804" width="5.875" style="96" bestFit="1" customWidth="1"/>
    <col min="1805" max="2049" width="8.75" style="96"/>
    <col min="2050" max="2050" width="6" style="96" customWidth="1"/>
    <col min="2051" max="2051" width="10.875" style="96" bestFit="1" customWidth="1"/>
    <col min="2052" max="2052" width="7.375" style="96" bestFit="1" customWidth="1"/>
    <col min="2053" max="2053" width="6.875" style="96" bestFit="1" customWidth="1"/>
    <col min="2054" max="2054" width="7.625" style="96" bestFit="1" customWidth="1"/>
    <col min="2055" max="2055" width="8.5" style="96" bestFit="1" customWidth="1"/>
    <col min="2056" max="2056" width="5.875" style="96" bestFit="1" customWidth="1"/>
    <col min="2057" max="2059" width="8.75" style="96"/>
    <col min="2060" max="2060" width="5.875" style="96" bestFit="1" customWidth="1"/>
    <col min="2061" max="2305" width="8.75" style="96"/>
    <col min="2306" max="2306" width="6" style="96" customWidth="1"/>
    <col min="2307" max="2307" width="10.875" style="96" bestFit="1" customWidth="1"/>
    <col min="2308" max="2308" width="7.375" style="96" bestFit="1" customWidth="1"/>
    <col min="2309" max="2309" width="6.875" style="96" bestFit="1" customWidth="1"/>
    <col min="2310" max="2310" width="7.625" style="96" bestFit="1" customWidth="1"/>
    <col min="2311" max="2311" width="8.5" style="96" bestFit="1" customWidth="1"/>
    <col min="2312" max="2312" width="5.875" style="96" bestFit="1" customWidth="1"/>
    <col min="2313" max="2315" width="8.75" style="96"/>
    <col min="2316" max="2316" width="5.875" style="96" bestFit="1" customWidth="1"/>
    <col min="2317" max="2561" width="8.75" style="96"/>
    <col min="2562" max="2562" width="6" style="96" customWidth="1"/>
    <col min="2563" max="2563" width="10.875" style="96" bestFit="1" customWidth="1"/>
    <col min="2564" max="2564" width="7.375" style="96" bestFit="1" customWidth="1"/>
    <col min="2565" max="2565" width="6.875" style="96" bestFit="1" customWidth="1"/>
    <col min="2566" max="2566" width="7.625" style="96" bestFit="1" customWidth="1"/>
    <col min="2567" max="2567" width="8.5" style="96" bestFit="1" customWidth="1"/>
    <col min="2568" max="2568" width="5.875" style="96" bestFit="1" customWidth="1"/>
    <col min="2569" max="2571" width="8.75" style="96"/>
    <col min="2572" max="2572" width="5.875" style="96" bestFit="1" customWidth="1"/>
    <col min="2573" max="2817" width="8.75" style="96"/>
    <col min="2818" max="2818" width="6" style="96" customWidth="1"/>
    <col min="2819" max="2819" width="10.875" style="96" bestFit="1" customWidth="1"/>
    <col min="2820" max="2820" width="7.375" style="96" bestFit="1" customWidth="1"/>
    <col min="2821" max="2821" width="6.875" style="96" bestFit="1" customWidth="1"/>
    <col min="2822" max="2822" width="7.625" style="96" bestFit="1" customWidth="1"/>
    <col min="2823" max="2823" width="8.5" style="96" bestFit="1" customWidth="1"/>
    <col min="2824" max="2824" width="5.875" style="96" bestFit="1" customWidth="1"/>
    <col min="2825" max="2827" width="8.75" style="96"/>
    <col min="2828" max="2828" width="5.875" style="96" bestFit="1" customWidth="1"/>
    <col min="2829" max="3073" width="8.75" style="96"/>
    <col min="3074" max="3074" width="6" style="96" customWidth="1"/>
    <col min="3075" max="3075" width="10.875" style="96" bestFit="1" customWidth="1"/>
    <col min="3076" max="3076" width="7.375" style="96" bestFit="1" customWidth="1"/>
    <col min="3077" max="3077" width="6.875" style="96" bestFit="1" customWidth="1"/>
    <col min="3078" max="3078" width="7.625" style="96" bestFit="1" customWidth="1"/>
    <col min="3079" max="3079" width="8.5" style="96" bestFit="1" customWidth="1"/>
    <col min="3080" max="3080" width="5.875" style="96" bestFit="1" customWidth="1"/>
    <col min="3081" max="3083" width="8.75" style="96"/>
    <col min="3084" max="3084" width="5.875" style="96" bestFit="1" customWidth="1"/>
    <col min="3085" max="3329" width="8.75" style="96"/>
    <col min="3330" max="3330" width="6" style="96" customWidth="1"/>
    <col min="3331" max="3331" width="10.875" style="96" bestFit="1" customWidth="1"/>
    <col min="3332" max="3332" width="7.375" style="96" bestFit="1" customWidth="1"/>
    <col min="3333" max="3333" width="6.875" style="96" bestFit="1" customWidth="1"/>
    <col min="3334" max="3334" width="7.625" style="96" bestFit="1" customWidth="1"/>
    <col min="3335" max="3335" width="8.5" style="96" bestFit="1" customWidth="1"/>
    <col min="3336" max="3336" width="5.875" style="96" bestFit="1" customWidth="1"/>
    <col min="3337" max="3339" width="8.75" style="96"/>
    <col min="3340" max="3340" width="5.875" style="96" bestFit="1" customWidth="1"/>
    <col min="3341" max="3585" width="8.75" style="96"/>
    <col min="3586" max="3586" width="6" style="96" customWidth="1"/>
    <col min="3587" max="3587" width="10.875" style="96" bestFit="1" customWidth="1"/>
    <col min="3588" max="3588" width="7.375" style="96" bestFit="1" customWidth="1"/>
    <col min="3589" max="3589" width="6.875" style="96" bestFit="1" customWidth="1"/>
    <col min="3590" max="3590" width="7.625" style="96" bestFit="1" customWidth="1"/>
    <col min="3591" max="3591" width="8.5" style="96" bestFit="1" customWidth="1"/>
    <col min="3592" max="3592" width="5.875" style="96" bestFit="1" customWidth="1"/>
    <col min="3593" max="3595" width="8.75" style="96"/>
    <col min="3596" max="3596" width="5.875" style="96" bestFit="1" customWidth="1"/>
    <col min="3597" max="3841" width="8.75" style="96"/>
    <col min="3842" max="3842" width="6" style="96" customWidth="1"/>
    <col min="3843" max="3843" width="10.875" style="96" bestFit="1" customWidth="1"/>
    <col min="3844" max="3844" width="7.375" style="96" bestFit="1" customWidth="1"/>
    <col min="3845" max="3845" width="6.875" style="96" bestFit="1" customWidth="1"/>
    <col min="3846" max="3846" width="7.625" style="96" bestFit="1" customWidth="1"/>
    <col min="3847" max="3847" width="8.5" style="96" bestFit="1" customWidth="1"/>
    <col min="3848" max="3848" width="5.875" style="96" bestFit="1" customWidth="1"/>
    <col min="3849" max="3851" width="8.75" style="96"/>
    <col min="3852" max="3852" width="5.875" style="96" bestFit="1" customWidth="1"/>
    <col min="3853" max="4097" width="8.75" style="96"/>
    <col min="4098" max="4098" width="6" style="96" customWidth="1"/>
    <col min="4099" max="4099" width="10.875" style="96" bestFit="1" customWidth="1"/>
    <col min="4100" max="4100" width="7.375" style="96" bestFit="1" customWidth="1"/>
    <col min="4101" max="4101" width="6.875" style="96" bestFit="1" customWidth="1"/>
    <col min="4102" max="4102" width="7.625" style="96" bestFit="1" customWidth="1"/>
    <col min="4103" max="4103" width="8.5" style="96" bestFit="1" customWidth="1"/>
    <col min="4104" max="4104" width="5.875" style="96" bestFit="1" customWidth="1"/>
    <col min="4105" max="4107" width="8.75" style="96"/>
    <col min="4108" max="4108" width="5.875" style="96" bestFit="1" customWidth="1"/>
    <col min="4109" max="4353" width="8.75" style="96"/>
    <col min="4354" max="4354" width="6" style="96" customWidth="1"/>
    <col min="4355" max="4355" width="10.875" style="96" bestFit="1" customWidth="1"/>
    <col min="4356" max="4356" width="7.375" style="96" bestFit="1" customWidth="1"/>
    <col min="4357" max="4357" width="6.875" style="96" bestFit="1" customWidth="1"/>
    <col min="4358" max="4358" width="7.625" style="96" bestFit="1" customWidth="1"/>
    <col min="4359" max="4359" width="8.5" style="96" bestFit="1" customWidth="1"/>
    <col min="4360" max="4360" width="5.875" style="96" bestFit="1" customWidth="1"/>
    <col min="4361" max="4363" width="8.75" style="96"/>
    <col min="4364" max="4364" width="5.875" style="96" bestFit="1" customWidth="1"/>
    <col min="4365" max="4609" width="8.75" style="96"/>
    <col min="4610" max="4610" width="6" style="96" customWidth="1"/>
    <col min="4611" max="4611" width="10.875" style="96" bestFit="1" customWidth="1"/>
    <col min="4612" max="4612" width="7.375" style="96" bestFit="1" customWidth="1"/>
    <col min="4613" max="4613" width="6.875" style="96" bestFit="1" customWidth="1"/>
    <col min="4614" max="4614" width="7.625" style="96" bestFit="1" customWidth="1"/>
    <col min="4615" max="4615" width="8.5" style="96" bestFit="1" customWidth="1"/>
    <col min="4616" max="4616" width="5.875" style="96" bestFit="1" customWidth="1"/>
    <col min="4617" max="4619" width="8.75" style="96"/>
    <col min="4620" max="4620" width="5.875" style="96" bestFit="1" customWidth="1"/>
    <col min="4621" max="4865" width="8.75" style="96"/>
    <col min="4866" max="4866" width="6" style="96" customWidth="1"/>
    <col min="4867" max="4867" width="10.875" style="96" bestFit="1" customWidth="1"/>
    <col min="4868" max="4868" width="7.375" style="96" bestFit="1" customWidth="1"/>
    <col min="4869" max="4869" width="6.875" style="96" bestFit="1" customWidth="1"/>
    <col min="4870" max="4870" width="7.625" style="96" bestFit="1" customWidth="1"/>
    <col min="4871" max="4871" width="8.5" style="96" bestFit="1" customWidth="1"/>
    <col min="4872" max="4872" width="5.875" style="96" bestFit="1" customWidth="1"/>
    <col min="4873" max="4875" width="8.75" style="96"/>
    <col min="4876" max="4876" width="5.875" style="96" bestFit="1" customWidth="1"/>
    <col min="4877" max="5121" width="8.75" style="96"/>
    <col min="5122" max="5122" width="6" style="96" customWidth="1"/>
    <col min="5123" max="5123" width="10.875" style="96" bestFit="1" customWidth="1"/>
    <col min="5124" max="5124" width="7.375" style="96" bestFit="1" customWidth="1"/>
    <col min="5125" max="5125" width="6.875" style="96" bestFit="1" customWidth="1"/>
    <col min="5126" max="5126" width="7.625" style="96" bestFit="1" customWidth="1"/>
    <col min="5127" max="5127" width="8.5" style="96" bestFit="1" customWidth="1"/>
    <col min="5128" max="5128" width="5.875" style="96" bestFit="1" customWidth="1"/>
    <col min="5129" max="5131" width="8.75" style="96"/>
    <col min="5132" max="5132" width="5.875" style="96" bestFit="1" customWidth="1"/>
    <col min="5133" max="5377" width="8.75" style="96"/>
    <col min="5378" max="5378" width="6" style="96" customWidth="1"/>
    <col min="5379" max="5379" width="10.875" style="96" bestFit="1" customWidth="1"/>
    <col min="5380" max="5380" width="7.375" style="96" bestFit="1" customWidth="1"/>
    <col min="5381" max="5381" width="6.875" style="96" bestFit="1" customWidth="1"/>
    <col min="5382" max="5382" width="7.625" style="96" bestFit="1" customWidth="1"/>
    <col min="5383" max="5383" width="8.5" style="96" bestFit="1" customWidth="1"/>
    <col min="5384" max="5384" width="5.875" style="96" bestFit="1" customWidth="1"/>
    <col min="5385" max="5387" width="8.75" style="96"/>
    <col min="5388" max="5388" width="5.875" style="96" bestFit="1" customWidth="1"/>
    <col min="5389" max="5633" width="8.75" style="96"/>
    <col min="5634" max="5634" width="6" style="96" customWidth="1"/>
    <col min="5635" max="5635" width="10.875" style="96" bestFit="1" customWidth="1"/>
    <col min="5636" max="5636" width="7.375" style="96" bestFit="1" customWidth="1"/>
    <col min="5637" max="5637" width="6.875" style="96" bestFit="1" customWidth="1"/>
    <col min="5638" max="5638" width="7.625" style="96" bestFit="1" customWidth="1"/>
    <col min="5639" max="5639" width="8.5" style="96" bestFit="1" customWidth="1"/>
    <col min="5640" max="5640" width="5.875" style="96" bestFit="1" customWidth="1"/>
    <col min="5641" max="5643" width="8.75" style="96"/>
    <col min="5644" max="5644" width="5.875" style="96" bestFit="1" customWidth="1"/>
    <col min="5645" max="5889" width="8.75" style="96"/>
    <col min="5890" max="5890" width="6" style="96" customWidth="1"/>
    <col min="5891" max="5891" width="10.875" style="96" bestFit="1" customWidth="1"/>
    <col min="5892" max="5892" width="7.375" style="96" bestFit="1" customWidth="1"/>
    <col min="5893" max="5893" width="6.875" style="96" bestFit="1" customWidth="1"/>
    <col min="5894" max="5894" width="7.625" style="96" bestFit="1" customWidth="1"/>
    <col min="5895" max="5895" width="8.5" style="96" bestFit="1" customWidth="1"/>
    <col min="5896" max="5896" width="5.875" style="96" bestFit="1" customWidth="1"/>
    <col min="5897" max="5899" width="8.75" style="96"/>
    <col min="5900" max="5900" width="5.875" style="96" bestFit="1" customWidth="1"/>
    <col min="5901" max="6145" width="8.75" style="96"/>
    <col min="6146" max="6146" width="6" style="96" customWidth="1"/>
    <col min="6147" max="6147" width="10.875" style="96" bestFit="1" customWidth="1"/>
    <col min="6148" max="6148" width="7.375" style="96" bestFit="1" customWidth="1"/>
    <col min="6149" max="6149" width="6.875" style="96" bestFit="1" customWidth="1"/>
    <col min="6150" max="6150" width="7.625" style="96" bestFit="1" customWidth="1"/>
    <col min="6151" max="6151" width="8.5" style="96" bestFit="1" customWidth="1"/>
    <col min="6152" max="6152" width="5.875" style="96" bestFit="1" customWidth="1"/>
    <col min="6153" max="6155" width="8.75" style="96"/>
    <col min="6156" max="6156" width="5.875" style="96" bestFit="1" customWidth="1"/>
    <col min="6157" max="6401" width="8.75" style="96"/>
    <col min="6402" max="6402" width="6" style="96" customWidth="1"/>
    <col min="6403" max="6403" width="10.875" style="96" bestFit="1" customWidth="1"/>
    <col min="6404" max="6404" width="7.375" style="96" bestFit="1" customWidth="1"/>
    <col min="6405" max="6405" width="6.875" style="96" bestFit="1" customWidth="1"/>
    <col min="6406" max="6406" width="7.625" style="96" bestFit="1" customWidth="1"/>
    <col min="6407" max="6407" width="8.5" style="96" bestFit="1" customWidth="1"/>
    <col min="6408" max="6408" width="5.875" style="96" bestFit="1" customWidth="1"/>
    <col min="6409" max="6411" width="8.75" style="96"/>
    <col min="6412" max="6412" width="5.875" style="96" bestFit="1" customWidth="1"/>
    <col min="6413" max="6657" width="8.75" style="96"/>
    <col min="6658" max="6658" width="6" style="96" customWidth="1"/>
    <col min="6659" max="6659" width="10.875" style="96" bestFit="1" customWidth="1"/>
    <col min="6660" max="6660" width="7.375" style="96" bestFit="1" customWidth="1"/>
    <col min="6661" max="6661" width="6.875" style="96" bestFit="1" customWidth="1"/>
    <col min="6662" max="6662" width="7.625" style="96" bestFit="1" customWidth="1"/>
    <col min="6663" max="6663" width="8.5" style="96" bestFit="1" customWidth="1"/>
    <col min="6664" max="6664" width="5.875" style="96" bestFit="1" customWidth="1"/>
    <col min="6665" max="6667" width="8.75" style="96"/>
    <col min="6668" max="6668" width="5.875" style="96" bestFit="1" customWidth="1"/>
    <col min="6669" max="6913" width="8.75" style="96"/>
    <col min="6914" max="6914" width="6" style="96" customWidth="1"/>
    <col min="6915" max="6915" width="10.875" style="96" bestFit="1" customWidth="1"/>
    <col min="6916" max="6916" width="7.375" style="96" bestFit="1" customWidth="1"/>
    <col min="6917" max="6917" width="6.875" style="96" bestFit="1" customWidth="1"/>
    <col min="6918" max="6918" width="7.625" style="96" bestFit="1" customWidth="1"/>
    <col min="6919" max="6919" width="8.5" style="96" bestFit="1" customWidth="1"/>
    <col min="6920" max="6920" width="5.875" style="96" bestFit="1" customWidth="1"/>
    <col min="6921" max="6923" width="8.75" style="96"/>
    <col min="6924" max="6924" width="5.875" style="96" bestFit="1" customWidth="1"/>
    <col min="6925" max="7169" width="8.75" style="96"/>
    <col min="7170" max="7170" width="6" style="96" customWidth="1"/>
    <col min="7171" max="7171" width="10.875" style="96" bestFit="1" customWidth="1"/>
    <col min="7172" max="7172" width="7.375" style="96" bestFit="1" customWidth="1"/>
    <col min="7173" max="7173" width="6.875" style="96" bestFit="1" customWidth="1"/>
    <col min="7174" max="7174" width="7.625" style="96" bestFit="1" customWidth="1"/>
    <col min="7175" max="7175" width="8.5" style="96" bestFit="1" customWidth="1"/>
    <col min="7176" max="7176" width="5.875" style="96" bestFit="1" customWidth="1"/>
    <col min="7177" max="7179" width="8.75" style="96"/>
    <col min="7180" max="7180" width="5.875" style="96" bestFit="1" customWidth="1"/>
    <col min="7181" max="7425" width="8.75" style="96"/>
    <col min="7426" max="7426" width="6" style="96" customWidth="1"/>
    <col min="7427" max="7427" width="10.875" style="96" bestFit="1" customWidth="1"/>
    <col min="7428" max="7428" width="7.375" style="96" bestFit="1" customWidth="1"/>
    <col min="7429" max="7429" width="6.875" style="96" bestFit="1" customWidth="1"/>
    <col min="7430" max="7430" width="7.625" style="96" bestFit="1" customWidth="1"/>
    <col min="7431" max="7431" width="8.5" style="96" bestFit="1" customWidth="1"/>
    <col min="7432" max="7432" width="5.875" style="96" bestFit="1" customWidth="1"/>
    <col min="7433" max="7435" width="8.75" style="96"/>
    <col min="7436" max="7436" width="5.875" style="96" bestFit="1" customWidth="1"/>
    <col min="7437" max="7681" width="8.75" style="96"/>
    <col min="7682" max="7682" width="6" style="96" customWidth="1"/>
    <col min="7683" max="7683" width="10.875" style="96" bestFit="1" customWidth="1"/>
    <col min="7684" max="7684" width="7.375" style="96" bestFit="1" customWidth="1"/>
    <col min="7685" max="7685" width="6.875" style="96" bestFit="1" customWidth="1"/>
    <col min="7686" max="7686" width="7.625" style="96" bestFit="1" customWidth="1"/>
    <col min="7687" max="7687" width="8.5" style="96" bestFit="1" customWidth="1"/>
    <col min="7688" max="7688" width="5.875" style="96" bestFit="1" customWidth="1"/>
    <col min="7689" max="7691" width="8.75" style="96"/>
    <col min="7692" max="7692" width="5.875" style="96" bestFit="1" customWidth="1"/>
    <col min="7693" max="7937" width="8.75" style="96"/>
    <col min="7938" max="7938" width="6" style="96" customWidth="1"/>
    <col min="7939" max="7939" width="10.875" style="96" bestFit="1" customWidth="1"/>
    <col min="7940" max="7940" width="7.375" style="96" bestFit="1" customWidth="1"/>
    <col min="7941" max="7941" width="6.875" style="96" bestFit="1" customWidth="1"/>
    <col min="7942" max="7942" width="7.625" style="96" bestFit="1" customWidth="1"/>
    <col min="7943" max="7943" width="8.5" style="96" bestFit="1" customWidth="1"/>
    <col min="7944" max="7944" width="5.875" style="96" bestFit="1" customWidth="1"/>
    <col min="7945" max="7947" width="8.75" style="96"/>
    <col min="7948" max="7948" width="5.875" style="96" bestFit="1" customWidth="1"/>
    <col min="7949" max="8193" width="8.75" style="96"/>
    <col min="8194" max="8194" width="6" style="96" customWidth="1"/>
    <col min="8195" max="8195" width="10.875" style="96" bestFit="1" customWidth="1"/>
    <col min="8196" max="8196" width="7.375" style="96" bestFit="1" customWidth="1"/>
    <col min="8197" max="8197" width="6.875" style="96" bestFit="1" customWidth="1"/>
    <col min="8198" max="8198" width="7.625" style="96" bestFit="1" customWidth="1"/>
    <col min="8199" max="8199" width="8.5" style="96" bestFit="1" customWidth="1"/>
    <col min="8200" max="8200" width="5.875" style="96" bestFit="1" customWidth="1"/>
    <col min="8201" max="8203" width="8.75" style="96"/>
    <col min="8204" max="8204" width="5.875" style="96" bestFit="1" customWidth="1"/>
    <col min="8205" max="8449" width="8.75" style="96"/>
    <col min="8450" max="8450" width="6" style="96" customWidth="1"/>
    <col min="8451" max="8451" width="10.875" style="96" bestFit="1" customWidth="1"/>
    <col min="8452" max="8452" width="7.375" style="96" bestFit="1" customWidth="1"/>
    <col min="8453" max="8453" width="6.875" style="96" bestFit="1" customWidth="1"/>
    <col min="8454" max="8454" width="7.625" style="96" bestFit="1" customWidth="1"/>
    <col min="8455" max="8455" width="8.5" style="96" bestFit="1" customWidth="1"/>
    <col min="8456" max="8456" width="5.875" style="96" bestFit="1" customWidth="1"/>
    <col min="8457" max="8459" width="8.75" style="96"/>
    <col min="8460" max="8460" width="5.875" style="96" bestFit="1" customWidth="1"/>
    <col min="8461" max="8705" width="8.75" style="96"/>
    <col min="8706" max="8706" width="6" style="96" customWidth="1"/>
    <col min="8707" max="8707" width="10.875" style="96" bestFit="1" customWidth="1"/>
    <col min="8708" max="8708" width="7.375" style="96" bestFit="1" customWidth="1"/>
    <col min="8709" max="8709" width="6.875" style="96" bestFit="1" customWidth="1"/>
    <col min="8710" max="8710" width="7.625" style="96" bestFit="1" customWidth="1"/>
    <col min="8711" max="8711" width="8.5" style="96" bestFit="1" customWidth="1"/>
    <col min="8712" max="8712" width="5.875" style="96" bestFit="1" customWidth="1"/>
    <col min="8713" max="8715" width="8.75" style="96"/>
    <col min="8716" max="8716" width="5.875" style="96" bestFit="1" customWidth="1"/>
    <col min="8717" max="8961" width="8.75" style="96"/>
    <col min="8962" max="8962" width="6" style="96" customWidth="1"/>
    <col min="8963" max="8963" width="10.875" style="96" bestFit="1" customWidth="1"/>
    <col min="8964" max="8964" width="7.375" style="96" bestFit="1" customWidth="1"/>
    <col min="8965" max="8965" width="6.875" style="96" bestFit="1" customWidth="1"/>
    <col min="8966" max="8966" width="7.625" style="96" bestFit="1" customWidth="1"/>
    <col min="8967" max="8967" width="8.5" style="96" bestFit="1" customWidth="1"/>
    <col min="8968" max="8968" width="5.875" style="96" bestFit="1" customWidth="1"/>
    <col min="8969" max="8971" width="8.75" style="96"/>
    <col min="8972" max="8972" width="5.875" style="96" bestFit="1" customWidth="1"/>
    <col min="8973" max="9217" width="8.75" style="96"/>
    <col min="9218" max="9218" width="6" style="96" customWidth="1"/>
    <col min="9219" max="9219" width="10.875" style="96" bestFit="1" customWidth="1"/>
    <col min="9220" max="9220" width="7.375" style="96" bestFit="1" customWidth="1"/>
    <col min="9221" max="9221" width="6.875" style="96" bestFit="1" customWidth="1"/>
    <col min="9222" max="9222" width="7.625" style="96" bestFit="1" customWidth="1"/>
    <col min="9223" max="9223" width="8.5" style="96" bestFit="1" customWidth="1"/>
    <col min="9224" max="9224" width="5.875" style="96" bestFit="1" customWidth="1"/>
    <col min="9225" max="9227" width="8.75" style="96"/>
    <col min="9228" max="9228" width="5.875" style="96" bestFit="1" customWidth="1"/>
    <col min="9229" max="9473" width="8.75" style="96"/>
    <col min="9474" max="9474" width="6" style="96" customWidth="1"/>
    <col min="9475" max="9475" width="10.875" style="96" bestFit="1" customWidth="1"/>
    <col min="9476" max="9476" width="7.375" style="96" bestFit="1" customWidth="1"/>
    <col min="9477" max="9477" width="6.875" style="96" bestFit="1" customWidth="1"/>
    <col min="9478" max="9478" width="7.625" style="96" bestFit="1" customWidth="1"/>
    <col min="9479" max="9479" width="8.5" style="96" bestFit="1" customWidth="1"/>
    <col min="9480" max="9480" width="5.875" style="96" bestFit="1" customWidth="1"/>
    <col min="9481" max="9483" width="8.75" style="96"/>
    <col min="9484" max="9484" width="5.875" style="96" bestFit="1" customWidth="1"/>
    <col min="9485" max="9729" width="8.75" style="96"/>
    <col min="9730" max="9730" width="6" style="96" customWidth="1"/>
    <col min="9731" max="9731" width="10.875" style="96" bestFit="1" customWidth="1"/>
    <col min="9732" max="9732" width="7.375" style="96" bestFit="1" customWidth="1"/>
    <col min="9733" max="9733" width="6.875" style="96" bestFit="1" customWidth="1"/>
    <col min="9734" max="9734" width="7.625" style="96" bestFit="1" customWidth="1"/>
    <col min="9735" max="9735" width="8.5" style="96" bestFit="1" customWidth="1"/>
    <col min="9736" max="9736" width="5.875" style="96" bestFit="1" customWidth="1"/>
    <col min="9737" max="9739" width="8.75" style="96"/>
    <col min="9740" max="9740" width="5.875" style="96" bestFit="1" customWidth="1"/>
    <col min="9741" max="9985" width="8.75" style="96"/>
    <col min="9986" max="9986" width="6" style="96" customWidth="1"/>
    <col min="9987" max="9987" width="10.875" style="96" bestFit="1" customWidth="1"/>
    <col min="9988" max="9988" width="7.375" style="96" bestFit="1" customWidth="1"/>
    <col min="9989" max="9989" width="6.875" style="96" bestFit="1" customWidth="1"/>
    <col min="9990" max="9990" width="7.625" style="96" bestFit="1" customWidth="1"/>
    <col min="9991" max="9991" width="8.5" style="96" bestFit="1" customWidth="1"/>
    <col min="9992" max="9992" width="5.875" style="96" bestFit="1" customWidth="1"/>
    <col min="9993" max="9995" width="8.75" style="96"/>
    <col min="9996" max="9996" width="5.875" style="96" bestFit="1" customWidth="1"/>
    <col min="9997" max="10241" width="8.75" style="96"/>
    <col min="10242" max="10242" width="6" style="96" customWidth="1"/>
    <col min="10243" max="10243" width="10.875" style="96" bestFit="1" customWidth="1"/>
    <col min="10244" max="10244" width="7.375" style="96" bestFit="1" customWidth="1"/>
    <col min="10245" max="10245" width="6.875" style="96" bestFit="1" customWidth="1"/>
    <col min="10246" max="10246" width="7.625" style="96" bestFit="1" customWidth="1"/>
    <col min="10247" max="10247" width="8.5" style="96" bestFit="1" customWidth="1"/>
    <col min="10248" max="10248" width="5.875" style="96" bestFit="1" customWidth="1"/>
    <col min="10249" max="10251" width="8.75" style="96"/>
    <col min="10252" max="10252" width="5.875" style="96" bestFit="1" customWidth="1"/>
    <col min="10253" max="10497" width="8.75" style="96"/>
    <col min="10498" max="10498" width="6" style="96" customWidth="1"/>
    <col min="10499" max="10499" width="10.875" style="96" bestFit="1" customWidth="1"/>
    <col min="10500" max="10500" width="7.375" style="96" bestFit="1" customWidth="1"/>
    <col min="10501" max="10501" width="6.875" style="96" bestFit="1" customWidth="1"/>
    <col min="10502" max="10502" width="7.625" style="96" bestFit="1" customWidth="1"/>
    <col min="10503" max="10503" width="8.5" style="96" bestFit="1" customWidth="1"/>
    <col min="10504" max="10504" width="5.875" style="96" bestFit="1" customWidth="1"/>
    <col min="10505" max="10507" width="8.75" style="96"/>
    <col min="10508" max="10508" width="5.875" style="96" bestFit="1" customWidth="1"/>
    <col min="10509" max="10753" width="8.75" style="96"/>
    <col min="10754" max="10754" width="6" style="96" customWidth="1"/>
    <col min="10755" max="10755" width="10.875" style="96" bestFit="1" customWidth="1"/>
    <col min="10756" max="10756" width="7.375" style="96" bestFit="1" customWidth="1"/>
    <col min="10757" max="10757" width="6.875" style="96" bestFit="1" customWidth="1"/>
    <col min="10758" max="10758" width="7.625" style="96" bestFit="1" customWidth="1"/>
    <col min="10759" max="10759" width="8.5" style="96" bestFit="1" customWidth="1"/>
    <col min="10760" max="10760" width="5.875" style="96" bestFit="1" customWidth="1"/>
    <col min="10761" max="10763" width="8.75" style="96"/>
    <col min="10764" max="10764" width="5.875" style="96" bestFit="1" customWidth="1"/>
    <col min="10765" max="11009" width="8.75" style="96"/>
    <col min="11010" max="11010" width="6" style="96" customWidth="1"/>
    <col min="11011" max="11011" width="10.875" style="96" bestFit="1" customWidth="1"/>
    <col min="11012" max="11012" width="7.375" style="96" bestFit="1" customWidth="1"/>
    <col min="11013" max="11013" width="6.875" style="96" bestFit="1" customWidth="1"/>
    <col min="11014" max="11014" width="7.625" style="96" bestFit="1" customWidth="1"/>
    <col min="11015" max="11015" width="8.5" style="96" bestFit="1" customWidth="1"/>
    <col min="11016" max="11016" width="5.875" style="96" bestFit="1" customWidth="1"/>
    <col min="11017" max="11019" width="8.75" style="96"/>
    <col min="11020" max="11020" width="5.875" style="96" bestFit="1" customWidth="1"/>
    <col min="11021" max="11265" width="8.75" style="96"/>
    <col min="11266" max="11266" width="6" style="96" customWidth="1"/>
    <col min="11267" max="11267" width="10.875" style="96" bestFit="1" customWidth="1"/>
    <col min="11268" max="11268" width="7.375" style="96" bestFit="1" customWidth="1"/>
    <col min="11269" max="11269" width="6.875" style="96" bestFit="1" customWidth="1"/>
    <col min="11270" max="11270" width="7.625" style="96" bestFit="1" customWidth="1"/>
    <col min="11271" max="11271" width="8.5" style="96" bestFit="1" customWidth="1"/>
    <col min="11272" max="11272" width="5.875" style="96" bestFit="1" customWidth="1"/>
    <col min="11273" max="11275" width="8.75" style="96"/>
    <col min="11276" max="11276" width="5.875" style="96" bestFit="1" customWidth="1"/>
    <col min="11277" max="11521" width="8.75" style="96"/>
    <col min="11522" max="11522" width="6" style="96" customWidth="1"/>
    <col min="11523" max="11523" width="10.875" style="96" bestFit="1" customWidth="1"/>
    <col min="11524" max="11524" width="7.375" style="96" bestFit="1" customWidth="1"/>
    <col min="11525" max="11525" width="6.875" style="96" bestFit="1" customWidth="1"/>
    <col min="11526" max="11526" width="7.625" style="96" bestFit="1" customWidth="1"/>
    <col min="11527" max="11527" width="8.5" style="96" bestFit="1" customWidth="1"/>
    <col min="11528" max="11528" width="5.875" style="96" bestFit="1" customWidth="1"/>
    <col min="11529" max="11531" width="8.75" style="96"/>
    <col min="11532" max="11532" width="5.875" style="96" bestFit="1" customWidth="1"/>
    <col min="11533" max="11777" width="8.75" style="96"/>
    <col min="11778" max="11778" width="6" style="96" customWidth="1"/>
    <col min="11779" max="11779" width="10.875" style="96" bestFit="1" customWidth="1"/>
    <col min="11780" max="11780" width="7.375" style="96" bestFit="1" customWidth="1"/>
    <col min="11781" max="11781" width="6.875" style="96" bestFit="1" customWidth="1"/>
    <col min="11782" max="11782" width="7.625" style="96" bestFit="1" customWidth="1"/>
    <col min="11783" max="11783" width="8.5" style="96" bestFit="1" customWidth="1"/>
    <col min="11784" max="11784" width="5.875" style="96" bestFit="1" customWidth="1"/>
    <col min="11785" max="11787" width="8.75" style="96"/>
    <col min="11788" max="11788" width="5.875" style="96" bestFit="1" customWidth="1"/>
    <col min="11789" max="12033" width="8.75" style="96"/>
    <col min="12034" max="12034" width="6" style="96" customWidth="1"/>
    <col min="12035" max="12035" width="10.875" style="96" bestFit="1" customWidth="1"/>
    <col min="12036" max="12036" width="7.375" style="96" bestFit="1" customWidth="1"/>
    <col min="12037" max="12037" width="6.875" style="96" bestFit="1" customWidth="1"/>
    <col min="12038" max="12038" width="7.625" style="96" bestFit="1" customWidth="1"/>
    <col min="12039" max="12039" width="8.5" style="96" bestFit="1" customWidth="1"/>
    <col min="12040" max="12040" width="5.875" style="96" bestFit="1" customWidth="1"/>
    <col min="12041" max="12043" width="8.75" style="96"/>
    <col min="12044" max="12044" width="5.875" style="96" bestFit="1" customWidth="1"/>
    <col min="12045" max="12289" width="8.75" style="96"/>
    <col min="12290" max="12290" width="6" style="96" customWidth="1"/>
    <col min="12291" max="12291" width="10.875" style="96" bestFit="1" customWidth="1"/>
    <col min="12292" max="12292" width="7.375" style="96" bestFit="1" customWidth="1"/>
    <col min="12293" max="12293" width="6.875" style="96" bestFit="1" customWidth="1"/>
    <col min="12294" max="12294" width="7.625" style="96" bestFit="1" customWidth="1"/>
    <col min="12295" max="12295" width="8.5" style="96" bestFit="1" customWidth="1"/>
    <col min="12296" max="12296" width="5.875" style="96" bestFit="1" customWidth="1"/>
    <col min="12297" max="12299" width="8.75" style="96"/>
    <col min="12300" max="12300" width="5.875" style="96" bestFit="1" customWidth="1"/>
    <col min="12301" max="12545" width="8.75" style="96"/>
    <col min="12546" max="12546" width="6" style="96" customWidth="1"/>
    <col min="12547" max="12547" width="10.875" style="96" bestFit="1" customWidth="1"/>
    <col min="12548" max="12548" width="7.375" style="96" bestFit="1" customWidth="1"/>
    <col min="12549" max="12549" width="6.875" style="96" bestFit="1" customWidth="1"/>
    <col min="12550" max="12550" width="7.625" style="96" bestFit="1" customWidth="1"/>
    <col min="12551" max="12551" width="8.5" style="96" bestFit="1" customWidth="1"/>
    <col min="12552" max="12552" width="5.875" style="96" bestFit="1" customWidth="1"/>
    <col min="12553" max="12555" width="8.75" style="96"/>
    <col min="12556" max="12556" width="5.875" style="96" bestFit="1" customWidth="1"/>
    <col min="12557" max="12801" width="8.75" style="96"/>
    <col min="12802" max="12802" width="6" style="96" customWidth="1"/>
    <col min="12803" max="12803" width="10.875" style="96" bestFit="1" customWidth="1"/>
    <col min="12804" max="12804" width="7.375" style="96" bestFit="1" customWidth="1"/>
    <col min="12805" max="12805" width="6.875" style="96" bestFit="1" customWidth="1"/>
    <col min="12806" max="12806" width="7.625" style="96" bestFit="1" customWidth="1"/>
    <col min="12807" max="12807" width="8.5" style="96" bestFit="1" customWidth="1"/>
    <col min="12808" max="12808" width="5.875" style="96" bestFit="1" customWidth="1"/>
    <col min="12809" max="12811" width="8.75" style="96"/>
    <col min="12812" max="12812" width="5.875" style="96" bestFit="1" customWidth="1"/>
    <col min="12813" max="13057" width="8.75" style="96"/>
    <col min="13058" max="13058" width="6" style="96" customWidth="1"/>
    <col min="13059" max="13059" width="10.875" style="96" bestFit="1" customWidth="1"/>
    <col min="13060" max="13060" width="7.375" style="96" bestFit="1" customWidth="1"/>
    <col min="13061" max="13061" width="6.875" style="96" bestFit="1" customWidth="1"/>
    <col min="13062" max="13062" width="7.625" style="96" bestFit="1" customWidth="1"/>
    <col min="13063" max="13063" width="8.5" style="96" bestFit="1" customWidth="1"/>
    <col min="13064" max="13064" width="5.875" style="96" bestFit="1" customWidth="1"/>
    <col min="13065" max="13067" width="8.75" style="96"/>
    <col min="13068" max="13068" width="5.875" style="96" bestFit="1" customWidth="1"/>
    <col min="13069" max="13313" width="8.75" style="96"/>
    <col min="13314" max="13314" width="6" style="96" customWidth="1"/>
    <col min="13315" max="13315" width="10.875" style="96" bestFit="1" customWidth="1"/>
    <col min="13316" max="13316" width="7.375" style="96" bestFit="1" customWidth="1"/>
    <col min="13317" max="13317" width="6.875" style="96" bestFit="1" customWidth="1"/>
    <col min="13318" max="13318" width="7.625" style="96" bestFit="1" customWidth="1"/>
    <col min="13319" max="13319" width="8.5" style="96" bestFit="1" customWidth="1"/>
    <col min="13320" max="13320" width="5.875" style="96" bestFit="1" customWidth="1"/>
    <col min="13321" max="13323" width="8.75" style="96"/>
    <col min="13324" max="13324" width="5.875" style="96" bestFit="1" customWidth="1"/>
    <col min="13325" max="13569" width="8.75" style="96"/>
    <col min="13570" max="13570" width="6" style="96" customWidth="1"/>
    <col min="13571" max="13571" width="10.875" style="96" bestFit="1" customWidth="1"/>
    <col min="13572" max="13572" width="7.375" style="96" bestFit="1" customWidth="1"/>
    <col min="13573" max="13573" width="6.875" style="96" bestFit="1" customWidth="1"/>
    <col min="13574" max="13574" width="7.625" style="96" bestFit="1" customWidth="1"/>
    <col min="13575" max="13575" width="8.5" style="96" bestFit="1" customWidth="1"/>
    <col min="13576" max="13576" width="5.875" style="96" bestFit="1" customWidth="1"/>
    <col min="13577" max="13579" width="8.75" style="96"/>
    <col min="13580" max="13580" width="5.875" style="96" bestFit="1" customWidth="1"/>
    <col min="13581" max="13825" width="8.75" style="96"/>
    <col min="13826" max="13826" width="6" style="96" customWidth="1"/>
    <col min="13827" max="13827" width="10.875" style="96" bestFit="1" customWidth="1"/>
    <col min="13828" max="13828" width="7.375" style="96" bestFit="1" customWidth="1"/>
    <col min="13829" max="13829" width="6.875" style="96" bestFit="1" customWidth="1"/>
    <col min="13830" max="13830" width="7.625" style="96" bestFit="1" customWidth="1"/>
    <col min="13831" max="13831" width="8.5" style="96" bestFit="1" customWidth="1"/>
    <col min="13832" max="13832" width="5.875" style="96" bestFit="1" customWidth="1"/>
    <col min="13833" max="13835" width="8.75" style="96"/>
    <col min="13836" max="13836" width="5.875" style="96" bestFit="1" customWidth="1"/>
    <col min="13837" max="14081" width="8.75" style="96"/>
    <col min="14082" max="14082" width="6" style="96" customWidth="1"/>
    <col min="14083" max="14083" width="10.875" style="96" bestFit="1" customWidth="1"/>
    <col min="14084" max="14084" width="7.375" style="96" bestFit="1" customWidth="1"/>
    <col min="14085" max="14085" width="6.875" style="96" bestFit="1" customWidth="1"/>
    <col min="14086" max="14086" width="7.625" style="96" bestFit="1" customWidth="1"/>
    <col min="14087" max="14087" width="8.5" style="96" bestFit="1" customWidth="1"/>
    <col min="14088" max="14088" width="5.875" style="96" bestFit="1" customWidth="1"/>
    <col min="14089" max="14091" width="8.75" style="96"/>
    <col min="14092" max="14092" width="5.875" style="96" bestFit="1" customWidth="1"/>
    <col min="14093" max="14337" width="8.75" style="96"/>
    <col min="14338" max="14338" width="6" style="96" customWidth="1"/>
    <col min="14339" max="14339" width="10.875" style="96" bestFit="1" customWidth="1"/>
    <col min="14340" max="14340" width="7.375" style="96" bestFit="1" customWidth="1"/>
    <col min="14341" max="14341" width="6.875" style="96" bestFit="1" customWidth="1"/>
    <col min="14342" max="14342" width="7.625" style="96" bestFit="1" customWidth="1"/>
    <col min="14343" max="14343" width="8.5" style="96" bestFit="1" customWidth="1"/>
    <col min="14344" max="14344" width="5.875" style="96" bestFit="1" customWidth="1"/>
    <col min="14345" max="14347" width="8.75" style="96"/>
    <col min="14348" max="14348" width="5.875" style="96" bestFit="1" customWidth="1"/>
    <col min="14349" max="14593" width="8.75" style="96"/>
    <col min="14594" max="14594" width="6" style="96" customWidth="1"/>
    <col min="14595" max="14595" width="10.875" style="96" bestFit="1" customWidth="1"/>
    <col min="14596" max="14596" width="7.375" style="96" bestFit="1" customWidth="1"/>
    <col min="14597" max="14597" width="6.875" style="96" bestFit="1" customWidth="1"/>
    <col min="14598" max="14598" width="7.625" style="96" bestFit="1" customWidth="1"/>
    <col min="14599" max="14599" width="8.5" style="96" bestFit="1" customWidth="1"/>
    <col min="14600" max="14600" width="5.875" style="96" bestFit="1" customWidth="1"/>
    <col min="14601" max="14603" width="8.75" style="96"/>
    <col min="14604" max="14604" width="5.875" style="96" bestFit="1" customWidth="1"/>
    <col min="14605" max="14849" width="8.75" style="96"/>
    <col min="14850" max="14850" width="6" style="96" customWidth="1"/>
    <col min="14851" max="14851" width="10.875" style="96" bestFit="1" customWidth="1"/>
    <col min="14852" max="14852" width="7.375" style="96" bestFit="1" customWidth="1"/>
    <col min="14853" max="14853" width="6.875" style="96" bestFit="1" customWidth="1"/>
    <col min="14854" max="14854" width="7.625" style="96" bestFit="1" customWidth="1"/>
    <col min="14855" max="14855" width="8.5" style="96" bestFit="1" customWidth="1"/>
    <col min="14856" max="14856" width="5.875" style="96" bestFit="1" customWidth="1"/>
    <col min="14857" max="14859" width="8.75" style="96"/>
    <col min="14860" max="14860" width="5.875" style="96" bestFit="1" customWidth="1"/>
    <col min="14861" max="15105" width="8.75" style="96"/>
    <col min="15106" max="15106" width="6" style="96" customWidth="1"/>
    <col min="15107" max="15107" width="10.875" style="96" bestFit="1" customWidth="1"/>
    <col min="15108" max="15108" width="7.375" style="96" bestFit="1" customWidth="1"/>
    <col min="15109" max="15109" width="6.875" style="96" bestFit="1" customWidth="1"/>
    <col min="15110" max="15110" width="7.625" style="96" bestFit="1" customWidth="1"/>
    <col min="15111" max="15111" width="8.5" style="96" bestFit="1" customWidth="1"/>
    <col min="15112" max="15112" width="5.875" style="96" bestFit="1" customWidth="1"/>
    <col min="15113" max="15115" width="8.75" style="96"/>
    <col min="15116" max="15116" width="5.875" style="96" bestFit="1" customWidth="1"/>
    <col min="15117" max="15361" width="8.75" style="96"/>
    <col min="15362" max="15362" width="6" style="96" customWidth="1"/>
    <col min="15363" max="15363" width="10.875" style="96" bestFit="1" customWidth="1"/>
    <col min="15364" max="15364" width="7.375" style="96" bestFit="1" customWidth="1"/>
    <col min="15365" max="15365" width="6.875" style="96" bestFit="1" customWidth="1"/>
    <col min="15366" max="15366" width="7.625" style="96" bestFit="1" customWidth="1"/>
    <col min="15367" max="15367" width="8.5" style="96" bestFit="1" customWidth="1"/>
    <col min="15368" max="15368" width="5.875" style="96" bestFit="1" customWidth="1"/>
    <col min="15369" max="15371" width="8.75" style="96"/>
    <col min="15372" max="15372" width="5.875" style="96" bestFit="1" customWidth="1"/>
    <col min="15373" max="15617" width="8.75" style="96"/>
    <col min="15618" max="15618" width="6" style="96" customWidth="1"/>
    <col min="15619" max="15619" width="10.875" style="96" bestFit="1" customWidth="1"/>
    <col min="15620" max="15620" width="7.375" style="96" bestFit="1" customWidth="1"/>
    <col min="15621" max="15621" width="6.875" style="96" bestFit="1" customWidth="1"/>
    <col min="15622" max="15622" width="7.625" style="96" bestFit="1" customWidth="1"/>
    <col min="15623" max="15623" width="8.5" style="96" bestFit="1" customWidth="1"/>
    <col min="15624" max="15624" width="5.875" style="96" bestFit="1" customWidth="1"/>
    <col min="15625" max="15627" width="8.75" style="96"/>
    <col min="15628" max="15628" width="5.875" style="96" bestFit="1" customWidth="1"/>
    <col min="15629" max="15873" width="8.75" style="96"/>
    <col min="15874" max="15874" width="6" style="96" customWidth="1"/>
    <col min="15875" max="15875" width="10.875" style="96" bestFit="1" customWidth="1"/>
    <col min="15876" max="15876" width="7.375" style="96" bestFit="1" customWidth="1"/>
    <col min="15877" max="15877" width="6.875" style="96" bestFit="1" customWidth="1"/>
    <col min="15878" max="15878" width="7.625" style="96" bestFit="1" customWidth="1"/>
    <col min="15879" max="15879" width="8.5" style="96" bestFit="1" customWidth="1"/>
    <col min="15880" max="15880" width="5.875" style="96" bestFit="1" customWidth="1"/>
    <col min="15881" max="15883" width="8.75" style="96"/>
    <col min="15884" max="15884" width="5.875" style="96" bestFit="1" customWidth="1"/>
    <col min="15885" max="16129" width="8.75" style="96"/>
    <col min="16130" max="16130" width="6" style="96" customWidth="1"/>
    <col min="16131" max="16131" width="10.875" style="96" bestFit="1" customWidth="1"/>
    <col min="16132" max="16132" width="7.375" style="96" bestFit="1" customWidth="1"/>
    <col min="16133" max="16133" width="6.875" style="96" bestFit="1" customWidth="1"/>
    <col min="16134" max="16134" width="7.625" style="96" bestFit="1" customWidth="1"/>
    <col min="16135" max="16135" width="8.5" style="96" bestFit="1" customWidth="1"/>
    <col min="16136" max="16136" width="5.875" style="96" bestFit="1" customWidth="1"/>
    <col min="16137" max="16139" width="8.75" style="96"/>
    <col min="16140" max="16140" width="5.875" style="96" bestFit="1" customWidth="1"/>
    <col min="16141" max="16384" width="8.75" style="96"/>
  </cols>
  <sheetData>
    <row r="1" spans="2:8" ht="13.5" thickBot="1"/>
    <row r="2" spans="2:8" ht="13.5" thickBot="1">
      <c r="B2" s="276" t="s">
        <v>183</v>
      </c>
      <c r="C2" s="277"/>
      <c r="D2" s="277"/>
      <c r="E2" s="277"/>
      <c r="F2" s="277"/>
      <c r="G2" s="278"/>
    </row>
    <row r="3" spans="2:8" ht="13.5" thickBot="1"/>
    <row r="4" spans="2:8" ht="13.5" thickBot="1">
      <c r="B4" s="97"/>
      <c r="C4" s="98" t="s">
        <v>111</v>
      </c>
      <c r="D4" s="99" t="s">
        <v>112</v>
      </c>
      <c r="E4" s="100" t="s">
        <v>113</v>
      </c>
      <c r="F4" s="101" t="s">
        <v>146</v>
      </c>
      <c r="G4" s="102" t="s">
        <v>200</v>
      </c>
    </row>
    <row r="5" spans="2:8" ht="10.5" customHeight="1">
      <c r="B5" s="279" t="s">
        <v>147</v>
      </c>
      <c r="C5" s="103" t="s">
        <v>148</v>
      </c>
      <c r="D5" s="104">
        <v>23371</v>
      </c>
      <c r="E5" s="105">
        <v>23371</v>
      </c>
      <c r="F5" s="106"/>
      <c r="G5" s="107">
        <v>46742</v>
      </c>
    </row>
    <row r="6" spans="2:8">
      <c r="B6" s="280"/>
      <c r="C6" s="108" t="s">
        <v>149</v>
      </c>
      <c r="D6" s="109">
        <v>0</v>
      </c>
      <c r="E6" s="110">
        <v>0</v>
      </c>
      <c r="F6" s="111"/>
      <c r="G6" s="112">
        <v>0</v>
      </c>
    </row>
    <row r="7" spans="2:8">
      <c r="B7" s="280"/>
      <c r="C7" s="108" t="s">
        <v>150</v>
      </c>
      <c r="D7" s="109">
        <v>2203</v>
      </c>
      <c r="E7" s="110">
        <v>2203</v>
      </c>
      <c r="F7" s="111"/>
      <c r="G7" s="112">
        <v>4406</v>
      </c>
    </row>
    <row r="8" spans="2:8">
      <c r="B8" s="280"/>
      <c r="C8" s="108" t="s">
        <v>151</v>
      </c>
      <c r="D8" s="109">
        <v>0</v>
      </c>
      <c r="E8" s="110">
        <v>0</v>
      </c>
      <c r="F8" s="111"/>
      <c r="G8" s="112">
        <v>0</v>
      </c>
    </row>
    <row r="9" spans="2:8" ht="13.5" thickBot="1">
      <c r="B9" s="281"/>
      <c r="C9" s="113" t="s">
        <v>152</v>
      </c>
      <c r="D9" s="114">
        <v>46919</v>
      </c>
      <c r="E9" s="115">
        <v>46919</v>
      </c>
      <c r="F9" s="116"/>
      <c r="G9" s="117">
        <v>93838</v>
      </c>
    </row>
    <row r="10" spans="2:8" ht="13.5" thickBot="1">
      <c r="B10" s="118"/>
      <c r="C10" s="119" t="s">
        <v>153</v>
      </c>
      <c r="D10" s="120">
        <f>SUM(D5:D9)</f>
        <v>72493</v>
      </c>
      <c r="E10" s="121">
        <f>SUM(E5:E9)</f>
        <v>72493</v>
      </c>
      <c r="F10" s="122">
        <f>SUM(F5:F9)</f>
        <v>0</v>
      </c>
      <c r="G10" s="123">
        <f>SUM(G5:G9)</f>
        <v>144986</v>
      </c>
    </row>
    <row r="11" spans="2:8" ht="13.5" thickBot="1">
      <c r="C11" s="119" t="s">
        <v>154</v>
      </c>
      <c r="D11" s="124">
        <f>D10/G10</f>
        <v>0.5</v>
      </c>
      <c r="E11" s="125">
        <f>E10/G10</f>
        <v>0.5</v>
      </c>
      <c r="F11" s="126">
        <f>F10/G10</f>
        <v>0</v>
      </c>
      <c r="G11" s="127">
        <f>SUM(D11:F11)</f>
        <v>1</v>
      </c>
    </row>
    <row r="12" spans="2:8" ht="13.5" thickBot="1"/>
    <row r="13" spans="2:8" ht="13.5" thickBot="1">
      <c r="B13" s="97"/>
      <c r="C13" s="128" t="s">
        <v>111</v>
      </c>
      <c r="D13" s="99" t="s">
        <v>112</v>
      </c>
      <c r="E13" s="100" t="s">
        <v>113</v>
      </c>
      <c r="F13" s="101" t="s">
        <v>146</v>
      </c>
      <c r="G13" s="129" t="s">
        <v>201</v>
      </c>
      <c r="H13" s="130"/>
    </row>
    <row r="14" spans="2:8" ht="10.5" customHeight="1">
      <c r="B14" s="282" t="s">
        <v>114</v>
      </c>
      <c r="C14" s="131" t="s">
        <v>155</v>
      </c>
      <c r="D14" s="132">
        <v>32263484</v>
      </c>
      <c r="E14" s="133">
        <v>15749018</v>
      </c>
      <c r="F14" s="134"/>
      <c r="G14" s="135">
        <f>SUM(D14:F14)</f>
        <v>48012502</v>
      </c>
      <c r="H14" s="136"/>
    </row>
    <row r="15" spans="2:8">
      <c r="B15" s="283"/>
      <c r="C15" s="138" t="s">
        <v>156</v>
      </c>
      <c r="D15" s="139">
        <v>3379831</v>
      </c>
      <c r="E15" s="140"/>
      <c r="F15" s="141"/>
      <c r="G15" s="142">
        <f>SUM(D15:F15)</f>
        <v>3379831</v>
      </c>
      <c r="H15" s="136"/>
    </row>
    <row r="16" spans="2:8">
      <c r="B16" s="283"/>
      <c r="C16" s="138" t="s">
        <v>157</v>
      </c>
      <c r="D16" s="139">
        <v>37904.5</v>
      </c>
      <c r="E16" s="140">
        <v>19302.5</v>
      </c>
      <c r="F16" s="141"/>
      <c r="G16" s="142">
        <f t="shared" ref="G16:G23" si="0">SUM(D16:F16)</f>
        <v>57207</v>
      </c>
      <c r="H16" s="136"/>
    </row>
    <row r="17" spans="2:8">
      <c r="B17" s="283"/>
      <c r="C17" s="138" t="s">
        <v>115</v>
      </c>
      <c r="D17" s="143">
        <v>2134034.5</v>
      </c>
      <c r="E17" s="144">
        <v>2134034.5</v>
      </c>
      <c r="F17" s="141"/>
      <c r="G17" s="142">
        <f t="shared" si="0"/>
        <v>4268069</v>
      </c>
      <c r="H17" s="136"/>
    </row>
    <row r="18" spans="2:8">
      <c r="B18" s="283"/>
      <c r="C18" s="138" t="s">
        <v>158</v>
      </c>
      <c r="D18" s="139">
        <v>4653865</v>
      </c>
      <c r="E18" s="140"/>
      <c r="F18" s="141"/>
      <c r="G18" s="142">
        <f t="shared" si="0"/>
        <v>4653865</v>
      </c>
      <c r="H18" s="136"/>
    </row>
    <row r="19" spans="2:8">
      <c r="B19" s="283"/>
      <c r="C19" s="138" t="s">
        <v>159</v>
      </c>
      <c r="D19" s="139">
        <v>262046.5</v>
      </c>
      <c r="E19" s="140">
        <v>262046.5</v>
      </c>
      <c r="F19" s="141"/>
      <c r="G19" s="142">
        <v>524093</v>
      </c>
      <c r="H19" s="136"/>
    </row>
    <row r="20" spans="2:8">
      <c r="B20" s="283"/>
      <c r="C20" s="138" t="s">
        <v>160</v>
      </c>
      <c r="D20" s="143">
        <v>13004016</v>
      </c>
      <c r="E20" s="144">
        <v>14378506</v>
      </c>
      <c r="F20" s="141"/>
      <c r="G20" s="142">
        <f t="shared" si="0"/>
        <v>27382522</v>
      </c>
      <c r="H20" s="136"/>
    </row>
    <row r="21" spans="2:8">
      <c r="B21" s="283"/>
      <c r="C21" s="138" t="s">
        <v>116</v>
      </c>
      <c r="D21" s="139"/>
      <c r="E21" s="140">
        <v>2372761</v>
      </c>
      <c r="F21" s="141"/>
      <c r="G21" s="142">
        <f t="shared" si="0"/>
        <v>2372761</v>
      </c>
      <c r="H21" s="136"/>
    </row>
    <row r="22" spans="2:8">
      <c r="B22" s="283"/>
      <c r="C22" s="138" t="s">
        <v>117</v>
      </c>
      <c r="D22" s="139"/>
      <c r="E22" s="140">
        <v>91904</v>
      </c>
      <c r="F22" s="141"/>
      <c r="G22" s="142">
        <f t="shared" si="0"/>
        <v>91904</v>
      </c>
      <c r="H22" s="136"/>
    </row>
    <row r="23" spans="2:8">
      <c r="B23" s="283"/>
      <c r="C23" s="138" t="s">
        <v>118</v>
      </c>
      <c r="D23" s="139"/>
      <c r="E23" s="140">
        <v>352260</v>
      </c>
      <c r="F23" s="141"/>
      <c r="G23" s="142">
        <f t="shared" si="0"/>
        <v>352260</v>
      </c>
      <c r="H23" s="136"/>
    </row>
    <row r="24" spans="2:8" ht="13.5" thickBot="1">
      <c r="B24" s="284"/>
      <c r="C24" s="146" t="s">
        <v>119</v>
      </c>
      <c r="D24" s="147">
        <v>52502</v>
      </c>
      <c r="E24" s="148">
        <v>30756</v>
      </c>
      <c r="F24" s="149"/>
      <c r="G24" s="150">
        <f>SUM(D24:F24)</f>
        <v>83258</v>
      </c>
      <c r="H24" s="136"/>
    </row>
    <row r="25" spans="2:8" ht="13.5" thickBot="1">
      <c r="B25" s="118"/>
      <c r="C25" s="151" t="s">
        <v>201</v>
      </c>
      <c r="D25" s="152">
        <f>SUM(D14:D24)</f>
        <v>55787683.5</v>
      </c>
      <c r="E25" s="153">
        <f>SUM(E14:E24)</f>
        <v>35390588.5</v>
      </c>
      <c r="F25" s="154">
        <f>SUM(F14:F24)</f>
        <v>0</v>
      </c>
      <c r="G25" s="155">
        <f>SUM(G14:G24)</f>
        <v>91178272</v>
      </c>
      <c r="H25" s="136"/>
    </row>
    <row r="26" spans="2:8" ht="13.5" thickBot="1">
      <c r="C26" s="151" t="s">
        <v>161</v>
      </c>
      <c r="D26" s="156">
        <f>D25/G25</f>
        <v>0.61185282717356171</v>
      </c>
      <c r="E26" s="157">
        <f>E25/G25</f>
        <v>0.38814717282643829</v>
      </c>
      <c r="F26" s="158">
        <f>F25/G25</f>
        <v>0</v>
      </c>
      <c r="G26" s="159">
        <f>SUM(D26:F26)</f>
        <v>1</v>
      </c>
      <c r="H26" s="136"/>
    </row>
    <row r="27" spans="2:8" ht="13.5" thickBot="1"/>
    <row r="28" spans="2:8" ht="13.5" thickBot="1">
      <c r="B28" s="97"/>
      <c r="C28" s="128" t="s">
        <v>111</v>
      </c>
      <c r="D28" s="160" t="s">
        <v>112</v>
      </c>
      <c r="E28" s="100" t="s">
        <v>113</v>
      </c>
      <c r="F28" s="161" t="s">
        <v>146</v>
      </c>
      <c r="G28" s="162" t="s">
        <v>202</v>
      </c>
    </row>
    <row r="29" spans="2:8">
      <c r="B29" s="282" t="s">
        <v>120</v>
      </c>
      <c r="C29" s="131" t="s">
        <v>162</v>
      </c>
      <c r="D29" s="163"/>
      <c r="E29" s="164"/>
      <c r="F29" s="165">
        <v>2871456</v>
      </c>
      <c r="G29" s="166">
        <f t="shared" ref="G29:G34" si="1">SUM(D29:F29)</f>
        <v>2871456</v>
      </c>
      <c r="H29" s="136"/>
    </row>
    <row r="30" spans="2:8">
      <c r="B30" s="283"/>
      <c r="C30" s="138" t="s">
        <v>121</v>
      </c>
      <c r="D30" s="167"/>
      <c r="E30" s="140"/>
      <c r="F30" s="168"/>
      <c r="G30" s="169">
        <f t="shared" si="1"/>
        <v>0</v>
      </c>
      <c r="H30" s="136"/>
    </row>
    <row r="31" spans="2:8">
      <c r="B31" s="283"/>
      <c r="C31" s="138" t="s">
        <v>122</v>
      </c>
      <c r="D31" s="167"/>
      <c r="E31" s="140"/>
      <c r="F31" s="168">
        <v>0</v>
      </c>
      <c r="G31" s="169">
        <f t="shared" si="1"/>
        <v>0</v>
      </c>
      <c r="H31" s="136"/>
    </row>
    <row r="32" spans="2:8">
      <c r="B32" s="283"/>
      <c r="C32" s="138" t="s">
        <v>123</v>
      </c>
      <c r="D32" s="167">
        <v>14033573</v>
      </c>
      <c r="E32" s="140"/>
      <c r="F32" s="168"/>
      <c r="G32" s="169">
        <f t="shared" si="1"/>
        <v>14033573</v>
      </c>
      <c r="H32" s="136"/>
    </row>
    <row r="33" spans="2:8">
      <c r="B33" s="283"/>
      <c r="C33" s="138" t="s">
        <v>124</v>
      </c>
      <c r="D33" s="167"/>
      <c r="E33" s="140">
        <v>7943586</v>
      </c>
      <c r="F33" s="168"/>
      <c r="G33" s="169">
        <f t="shared" si="1"/>
        <v>7943586</v>
      </c>
      <c r="H33" s="136"/>
    </row>
    <row r="34" spans="2:8">
      <c r="B34" s="283"/>
      <c r="C34" s="138" t="s">
        <v>125</v>
      </c>
      <c r="D34" s="167">
        <v>14340120</v>
      </c>
      <c r="E34" s="140"/>
      <c r="F34" s="168"/>
      <c r="G34" s="169">
        <f t="shared" si="1"/>
        <v>14340120</v>
      </c>
      <c r="H34" s="136"/>
    </row>
    <row r="35" spans="2:8" ht="13.5" thickBot="1">
      <c r="B35" s="284"/>
      <c r="C35" s="146" t="s">
        <v>163</v>
      </c>
      <c r="D35" s="170">
        <v>7176284</v>
      </c>
      <c r="E35" s="170"/>
      <c r="F35" s="171"/>
      <c r="G35" s="172">
        <f>SUM(D35:F35)</f>
        <v>7176284</v>
      </c>
      <c r="H35" s="136"/>
    </row>
    <row r="36" spans="2:8" ht="13.5" thickBot="1">
      <c r="B36" s="145"/>
      <c r="C36" s="151" t="s">
        <v>202</v>
      </c>
      <c r="D36" s="173">
        <f>SUM(D29:D35)</f>
        <v>35549977</v>
      </c>
      <c r="E36" s="153">
        <f>SUM(E29:E35)</f>
        <v>7943586</v>
      </c>
      <c r="F36" s="174">
        <f>SUM(F29:F35)</f>
        <v>2871456</v>
      </c>
      <c r="G36" s="175">
        <f>SUM(G29:G35)</f>
        <v>46365019</v>
      </c>
      <c r="H36" s="136"/>
    </row>
    <row r="37" spans="2:8" ht="13.5" thickBot="1">
      <c r="D37" s="136"/>
      <c r="E37" s="136"/>
      <c r="F37" s="136"/>
      <c r="G37" s="176"/>
      <c r="H37" s="136"/>
    </row>
    <row r="38" spans="2:8" ht="13.5" thickBot="1">
      <c r="B38" s="97"/>
      <c r="C38" s="128" t="s">
        <v>111</v>
      </c>
      <c r="D38" s="160" t="s">
        <v>112</v>
      </c>
      <c r="E38" s="100" t="s">
        <v>113</v>
      </c>
      <c r="F38" s="161" t="s">
        <v>146</v>
      </c>
      <c r="G38" s="162" t="s">
        <v>203</v>
      </c>
      <c r="H38" s="136"/>
    </row>
    <row r="39" spans="2:8" ht="13.9" customHeight="1">
      <c r="B39" s="282" t="s">
        <v>126</v>
      </c>
      <c r="C39" s="131" t="s">
        <v>164</v>
      </c>
      <c r="D39" s="177">
        <v>1521437</v>
      </c>
      <c r="E39" s="133">
        <v>1017991</v>
      </c>
      <c r="F39" s="165"/>
      <c r="G39" s="166">
        <f>SUM(D39:F39)</f>
        <v>2539428</v>
      </c>
    </row>
    <row r="40" spans="2:8">
      <c r="B40" s="283"/>
      <c r="C40" s="138" t="s">
        <v>162</v>
      </c>
      <c r="D40" s="167">
        <v>51848</v>
      </c>
      <c r="E40" s="140"/>
      <c r="F40" s="168"/>
      <c r="G40" s="169">
        <f t="shared" ref="G40:G46" si="2">SUM(D40:F40)</f>
        <v>51848</v>
      </c>
      <c r="H40" s="136"/>
    </row>
    <row r="41" spans="2:8">
      <c r="B41" s="283"/>
      <c r="C41" s="138" t="s">
        <v>165</v>
      </c>
      <c r="D41" s="178">
        <v>4050069.9999999995</v>
      </c>
      <c r="E41" s="144">
        <v>4050069.9999999995</v>
      </c>
      <c r="F41" s="168"/>
      <c r="G41" s="169">
        <f>SUM(D41:F41)</f>
        <v>8100139.9999999991</v>
      </c>
      <c r="H41" s="136"/>
    </row>
    <row r="42" spans="2:8">
      <c r="B42" s="283"/>
      <c r="C42" s="138" t="s">
        <v>127</v>
      </c>
      <c r="D42" s="178">
        <v>162922</v>
      </c>
      <c r="E42" s="144">
        <v>157259</v>
      </c>
      <c r="F42" s="168"/>
      <c r="G42" s="169">
        <f t="shared" si="2"/>
        <v>320181</v>
      </c>
      <c r="H42" s="136"/>
    </row>
    <row r="43" spans="2:8">
      <c r="B43" s="283"/>
      <c r="C43" s="138" t="s">
        <v>128</v>
      </c>
      <c r="D43" s="178">
        <v>682885</v>
      </c>
      <c r="E43" s="144">
        <v>162341</v>
      </c>
      <c r="F43" s="168"/>
      <c r="G43" s="169">
        <f t="shared" si="2"/>
        <v>845226</v>
      </c>
      <c r="H43" s="136"/>
    </row>
    <row r="44" spans="2:8">
      <c r="B44" s="283"/>
      <c r="C44" s="138" t="s">
        <v>166</v>
      </c>
      <c r="D44" s="167">
        <v>212134</v>
      </c>
      <c r="E44" s="140"/>
      <c r="F44" s="168"/>
      <c r="G44" s="169">
        <f t="shared" si="2"/>
        <v>212134</v>
      </c>
      <c r="H44" s="136"/>
    </row>
    <row r="45" spans="2:8">
      <c r="B45" s="283"/>
      <c r="C45" s="138" t="s">
        <v>129</v>
      </c>
      <c r="D45" s="167"/>
      <c r="E45" s="140">
        <v>320948</v>
      </c>
      <c r="F45" s="168"/>
      <c r="G45" s="169">
        <f t="shared" si="2"/>
        <v>320948</v>
      </c>
      <c r="H45" s="136"/>
    </row>
    <row r="46" spans="2:8">
      <c r="B46" s="283"/>
      <c r="C46" s="138" t="s">
        <v>167</v>
      </c>
      <c r="D46" s="167">
        <v>25529</v>
      </c>
      <c r="E46" s="167"/>
      <c r="F46" s="168"/>
      <c r="G46" s="169">
        <f t="shared" si="2"/>
        <v>25529</v>
      </c>
      <c r="H46" s="136"/>
    </row>
    <row r="47" spans="2:8">
      <c r="B47" s="283"/>
      <c r="C47" s="138" t="s">
        <v>168</v>
      </c>
      <c r="D47" s="167">
        <v>67105</v>
      </c>
      <c r="E47" s="140">
        <v>67105</v>
      </c>
      <c r="F47" s="168">
        <v>0</v>
      </c>
      <c r="G47" s="169">
        <v>134210</v>
      </c>
      <c r="H47" s="136"/>
    </row>
    <row r="48" spans="2:8" ht="13.5" thickBot="1">
      <c r="B48" s="284"/>
      <c r="C48" s="146" t="s">
        <v>130</v>
      </c>
      <c r="D48" s="170">
        <v>2780</v>
      </c>
      <c r="E48" s="148">
        <v>2780</v>
      </c>
      <c r="F48" s="171"/>
      <c r="G48" s="172">
        <v>5560</v>
      </c>
      <c r="H48" s="136"/>
    </row>
    <row r="49" spans="2:9" ht="13.5" thickBot="1">
      <c r="B49" s="137"/>
      <c r="C49" s="179" t="s">
        <v>203</v>
      </c>
      <c r="D49" s="180">
        <f>SUM(D39:D48)</f>
        <v>6776710</v>
      </c>
      <c r="E49" s="181">
        <f>SUM(E39:E48)</f>
        <v>5778494</v>
      </c>
      <c r="F49" s="182">
        <f>SUM(F39:F48)</f>
        <v>0</v>
      </c>
      <c r="G49" s="183">
        <f>SUM(G39:G48)</f>
        <v>12555204</v>
      </c>
      <c r="H49" s="136"/>
    </row>
    <row r="50" spans="2:9" ht="13.5" thickBot="1">
      <c r="B50" s="184"/>
      <c r="C50" s="185" t="s">
        <v>131</v>
      </c>
      <c r="D50" s="186">
        <f>D49+D36</f>
        <v>42326687</v>
      </c>
      <c r="E50" s="187">
        <f>E49+E36</f>
        <v>13722080</v>
      </c>
      <c r="F50" s="188">
        <f>F49+F36</f>
        <v>2871456</v>
      </c>
      <c r="G50" s="189">
        <f>G49+G36</f>
        <v>58920223</v>
      </c>
      <c r="H50" s="136"/>
    </row>
    <row r="51" spans="2:9" ht="13.5" thickBot="1">
      <c r="H51" s="136"/>
      <c r="I51" s="136"/>
    </row>
    <row r="52" spans="2:9" ht="13.5" thickBot="1">
      <c r="B52" s="97"/>
      <c r="C52" s="128" t="s">
        <v>111</v>
      </c>
      <c r="D52" s="160" t="s">
        <v>112</v>
      </c>
      <c r="E52" s="100" t="s">
        <v>113</v>
      </c>
      <c r="F52" s="161" t="s">
        <v>146</v>
      </c>
      <c r="G52" s="162" t="s">
        <v>204</v>
      </c>
      <c r="H52" s="190"/>
    </row>
    <row r="53" spans="2:9" ht="13.9" customHeight="1">
      <c r="B53" s="273" t="s">
        <v>132</v>
      </c>
      <c r="C53" s="131" t="s">
        <v>169</v>
      </c>
      <c r="D53" s="163">
        <v>88806</v>
      </c>
      <c r="E53" s="164">
        <v>88806</v>
      </c>
      <c r="F53" s="165"/>
      <c r="G53" s="166">
        <v>177612</v>
      </c>
      <c r="H53" s="136"/>
    </row>
    <row r="54" spans="2:9">
      <c r="B54" s="274"/>
      <c r="C54" s="138" t="s">
        <v>170</v>
      </c>
      <c r="D54" s="167">
        <v>6078290</v>
      </c>
      <c r="E54" s="140">
        <v>6078290</v>
      </c>
      <c r="F54" s="168"/>
      <c r="G54" s="169">
        <v>12156580</v>
      </c>
      <c r="H54" s="136"/>
    </row>
    <row r="55" spans="2:9" ht="13.5" thickBot="1">
      <c r="B55" s="275"/>
      <c r="C55" s="146" t="s">
        <v>171</v>
      </c>
      <c r="D55" s="170">
        <v>0</v>
      </c>
      <c r="E55" s="148">
        <v>106902</v>
      </c>
      <c r="F55" s="171"/>
      <c r="G55" s="172">
        <v>106902</v>
      </c>
      <c r="H55" s="136"/>
    </row>
    <row r="56" spans="2:9" ht="13.5" thickBot="1">
      <c r="B56" s="118"/>
      <c r="C56" s="151" t="s">
        <v>204</v>
      </c>
      <c r="D56" s="173">
        <f>SUM(D53:D55)</f>
        <v>6167096</v>
      </c>
      <c r="E56" s="153">
        <f>SUM(E53:E55)</f>
        <v>6273998</v>
      </c>
      <c r="F56" s="174">
        <f>SUM(F53:F55)</f>
        <v>0</v>
      </c>
      <c r="G56" s="175">
        <f>SUM(G53:G55)</f>
        <v>12441094</v>
      </c>
      <c r="H56" s="136"/>
    </row>
    <row r="57" spans="2:9" ht="13.5" thickBot="1">
      <c r="D57" s="95"/>
      <c r="H57" s="136"/>
    </row>
    <row r="58" spans="2:9" ht="13.5" thickBot="1">
      <c r="B58" s="97"/>
      <c r="C58" s="128" t="s">
        <v>111</v>
      </c>
      <c r="D58" s="160" t="s">
        <v>112</v>
      </c>
      <c r="E58" s="100" t="s">
        <v>113</v>
      </c>
      <c r="F58" s="161" t="s">
        <v>146</v>
      </c>
      <c r="G58" s="162" t="s">
        <v>205</v>
      </c>
      <c r="H58" s="136"/>
    </row>
    <row r="59" spans="2:9" ht="13.5" thickBot="1">
      <c r="B59" s="191" t="s">
        <v>133</v>
      </c>
      <c r="C59" s="192" t="s">
        <v>134</v>
      </c>
      <c r="D59" s="193">
        <v>48400</v>
      </c>
      <c r="E59" s="194">
        <v>48400</v>
      </c>
      <c r="F59" s="195"/>
      <c r="G59" s="196">
        <v>96800</v>
      </c>
      <c r="H59" s="136"/>
    </row>
    <row r="60" spans="2:9" ht="13.5" thickBot="1">
      <c r="B60" s="118"/>
      <c r="C60" s="151" t="s">
        <v>206</v>
      </c>
      <c r="D60" s="173">
        <f>SUM(D59)</f>
        <v>48400</v>
      </c>
      <c r="E60" s="153">
        <f>SUM(E59)</f>
        <v>48400</v>
      </c>
      <c r="F60" s="174">
        <f>SUM(F59)</f>
        <v>0</v>
      </c>
      <c r="G60" s="175">
        <f>SUM(G59)</f>
        <v>96800</v>
      </c>
      <c r="H60" s="136"/>
    </row>
    <row r="61" spans="2:9" ht="13.5" thickBot="1">
      <c r="H61" s="136"/>
    </row>
    <row r="62" spans="2:9" ht="13.5" thickBot="1">
      <c r="C62" s="197" t="s">
        <v>172</v>
      </c>
      <c r="D62" s="198" t="s">
        <v>112</v>
      </c>
      <c r="E62" s="199" t="s">
        <v>113</v>
      </c>
      <c r="F62" s="200" t="s">
        <v>146</v>
      </c>
      <c r="G62" s="201">
        <v>2022</v>
      </c>
      <c r="H62" s="136"/>
    </row>
    <row r="63" spans="2:9">
      <c r="C63" s="202" t="s">
        <v>207</v>
      </c>
      <c r="D63" s="104">
        <f>D10</f>
        <v>72493</v>
      </c>
      <c r="E63" s="105">
        <f>E10</f>
        <v>72493</v>
      </c>
      <c r="F63" s="203">
        <f>F10</f>
        <v>0</v>
      </c>
      <c r="G63" s="166">
        <f>G10</f>
        <v>144986</v>
      </c>
      <c r="H63" s="136"/>
    </row>
    <row r="64" spans="2:9" ht="13.5" thickBot="1">
      <c r="C64" s="204" t="s">
        <v>208</v>
      </c>
      <c r="D64" s="205">
        <f>D60+D56+D36+D25+D49</f>
        <v>104329866.5</v>
      </c>
      <c r="E64" s="206">
        <f>E60+E56+E36+E25+E49</f>
        <v>55435066.5</v>
      </c>
      <c r="F64" s="207">
        <f>F60+F56+F36+F25+F49</f>
        <v>2871456</v>
      </c>
      <c r="G64" s="208">
        <f>G60+G56+G49+G36+G25</f>
        <v>162636389</v>
      </c>
      <c r="H64" s="136"/>
    </row>
    <row r="65" spans="2:8" ht="13.5" thickBot="1">
      <c r="C65" s="185" t="s">
        <v>209</v>
      </c>
      <c r="D65" s="209">
        <f>SUM(D63:D64)</f>
        <v>104402359.5</v>
      </c>
      <c r="E65" s="210">
        <f>SUM(E63:E64)</f>
        <v>55507559.5</v>
      </c>
      <c r="F65" s="211">
        <f>SUM(F63:F64)</f>
        <v>2871456</v>
      </c>
      <c r="G65" s="212">
        <f>SUM(G63:G64)</f>
        <v>162781375</v>
      </c>
      <c r="H65" s="136"/>
    </row>
    <row r="66" spans="2:8" s="130" customFormat="1" ht="13.5" thickBot="1">
      <c r="B66" s="95"/>
      <c r="C66" s="96"/>
      <c r="D66" s="96"/>
      <c r="E66" s="96"/>
      <c r="F66" s="96"/>
      <c r="G66" s="95"/>
    </row>
    <row r="67" spans="2:8" s="130" customFormat="1" ht="13.5" thickBot="1">
      <c r="B67" s="95"/>
      <c r="C67" s="213" t="s">
        <v>173</v>
      </c>
      <c r="D67" s="198" t="s">
        <v>112</v>
      </c>
      <c r="E67" s="214" t="s">
        <v>113</v>
      </c>
      <c r="F67" s="215">
        <v>2022</v>
      </c>
      <c r="G67" s="95"/>
      <c r="H67" s="96"/>
    </row>
    <row r="68" spans="2:8">
      <c r="C68" s="202" t="s">
        <v>207</v>
      </c>
      <c r="D68" s="216">
        <f>D63</f>
        <v>72493</v>
      </c>
      <c r="E68" s="217">
        <f>E63</f>
        <v>72493</v>
      </c>
      <c r="F68" s="218">
        <f>SUM(D68:E68)</f>
        <v>144986</v>
      </c>
      <c r="G68" s="176">
        <f>F70</f>
        <v>159909919</v>
      </c>
      <c r="H68" s="95" t="s">
        <v>173</v>
      </c>
    </row>
    <row r="69" spans="2:8" ht="13.5" thickBot="1">
      <c r="C69" s="204" t="s">
        <v>208</v>
      </c>
      <c r="D69" s="114">
        <f>D64</f>
        <v>104329866.5</v>
      </c>
      <c r="E69" s="219">
        <f>E64</f>
        <v>55435066.5</v>
      </c>
      <c r="F69" s="220">
        <f>SUM(D69:E69)</f>
        <v>159764933</v>
      </c>
      <c r="G69" s="176">
        <f>F65</f>
        <v>2871456</v>
      </c>
      <c r="H69" s="95" t="s">
        <v>146</v>
      </c>
    </row>
    <row r="70" spans="2:8" ht="13.5" thickBot="1">
      <c r="C70" s="221" t="s">
        <v>210</v>
      </c>
      <c r="D70" s="209">
        <f>SUM(D68:D69)</f>
        <v>104402359.5</v>
      </c>
      <c r="E70" s="222">
        <f>SUM(E68:E69)</f>
        <v>55507559.5</v>
      </c>
      <c r="F70" s="212">
        <f>SUM(F68:F69)</f>
        <v>159909919</v>
      </c>
      <c r="G70" s="176">
        <f>SUM(G68:G69)</f>
        <v>162781375</v>
      </c>
      <c r="H70" s="95" t="s">
        <v>174</v>
      </c>
    </row>
    <row r="71" spans="2:8" ht="13.5" thickBot="1"/>
    <row r="72" spans="2:8" ht="13.5" thickBot="1">
      <c r="D72" s="209">
        <f>D70/100</f>
        <v>1044023.595</v>
      </c>
      <c r="E72" s="222">
        <f>E70/100</f>
        <v>555075.59499999997</v>
      </c>
      <c r="F72" s="212">
        <f>F70/100</f>
        <v>1599099.19</v>
      </c>
      <c r="G72" s="95" t="s">
        <v>175</v>
      </c>
    </row>
  </sheetData>
  <mergeCells count="6">
    <mergeCell ref="B53:B55"/>
    <mergeCell ref="B2:G2"/>
    <mergeCell ref="B5:B9"/>
    <mergeCell ref="B14:B24"/>
    <mergeCell ref="B29:B35"/>
    <mergeCell ref="B39:B48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Kompenzace SMO</vt:lpstr>
      <vt:lpstr>výchozí model (T + A)</vt:lpstr>
      <vt:lpstr>výchozí model T</vt:lpstr>
      <vt:lpstr>výchozí model A</vt:lpstr>
      <vt:lpstr>změna výkonu </vt:lpstr>
      <vt:lpstr>index bazický</vt:lpstr>
      <vt:lpstr>index mzdy</vt:lpstr>
      <vt:lpstr>index PHM a energie</vt:lpstr>
      <vt:lpstr>Provozní aktiva A+T</vt:lpstr>
      <vt:lpstr>'Kompenzace SMO'!Oblast_tisku</vt:lpstr>
      <vt:lpstr>'výchozí model (T + A)'!Oblast_tisku</vt:lpstr>
      <vt:lpstr>'výchozí model A'!Oblast_tisku</vt:lpstr>
      <vt:lpstr>'výchozí model 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Matyšková</dc:creator>
  <cp:lastModifiedBy>Hlávková Andrea</cp:lastModifiedBy>
  <cp:lastPrinted>2022-11-02T11:00:04Z</cp:lastPrinted>
  <dcterms:created xsi:type="dcterms:W3CDTF">2020-09-23T08:16:02Z</dcterms:created>
  <dcterms:modified xsi:type="dcterms:W3CDTF">2023-03-01T06:50:01Z</dcterms:modified>
</cp:coreProperties>
</file>